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w to Use" sheetId="1" r:id="rId3"/>
    <sheet state="visible" name="Sport" sheetId="2" r:id="rId4"/>
    <sheet state="visible" name="Willys Sport" sheetId="3" r:id="rId5"/>
    <sheet state="visible" name="Sport S" sheetId="4" r:id="rId6"/>
    <sheet state="visible" name="Willys" sheetId="5" r:id="rId7"/>
    <sheet state="visible" name="Freedom" sheetId="6" r:id="rId8"/>
    <sheet state="visible" name="80th Anniv" sheetId="7" r:id="rId9"/>
    <sheet state="visible" name="California" sheetId="8" r:id="rId10"/>
    <sheet state="visible" name="Texas" sheetId="9" r:id="rId11"/>
    <sheet state="visible" name="Mojave" sheetId="10" r:id="rId12"/>
    <sheet state="visible" name="Rubicon" sheetId="11" r:id="rId13"/>
    <sheet state="visible" name="Financing" sheetId="12" r:id="rId14"/>
    <sheet state="visible" name="Overland" sheetId="13" r:id="rId15"/>
    <sheet state="visible" name="High Altitude" sheetId="14" r:id="rId16"/>
    <sheet state="visible" name="Mopar Add-Ons" sheetId="15" r:id="rId17"/>
    <sheet state="visible" name="Release Notes" sheetId="16" r:id="rId1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E42">
      <text>
        <t xml:space="preserve">x</t>
      </text>
    </comment>
    <comment authorId="0" ref="G6">
      <text>
        <t xml:space="preserve">x
	-mr mo</t>
      </text>
    </comment>
  </commentList>
</comments>
</file>

<file path=xl/sharedStrings.xml><?xml version="1.0" encoding="utf-8"?>
<sst xmlns="http://schemas.openxmlformats.org/spreadsheetml/2006/main" count="1587" uniqueCount="383">
  <si>
    <r>
      <rPr>
        <color rgb="FFFFFFFF"/>
        <sz val="18.0"/>
      </rPr>
      <t xml:space="preserve">You </t>
    </r>
    <r>
      <rPr>
        <b/>
        <color rgb="FFFFFFFF"/>
        <sz val="18.0"/>
        <u/>
      </rPr>
      <t>cannot</t>
    </r>
    <r>
      <rPr>
        <color rgb="FFFFFFFF"/>
        <sz val="18.0"/>
      </rPr>
      <t xml:space="preserve"> have access to EDIT this sheet, read below.</t>
    </r>
  </si>
  <si>
    <t>To Edit this Spreadsheet:</t>
  </si>
  <si>
    <t>Open the File Menu.</t>
  </si>
  <si>
    <r>
      <rPr>
        <b/>
        <color rgb="FFFF0000"/>
        <sz val="24.0"/>
      </rPr>
      <t>Select "</t>
    </r>
    <r>
      <rPr>
        <b/>
        <color rgb="FFFF0000"/>
        <sz val="24.0"/>
        <u/>
      </rPr>
      <t>Copy to my Drive</t>
    </r>
    <r>
      <rPr>
        <b/>
        <color rgb="FFFF0000"/>
        <sz val="24.0"/>
      </rPr>
      <t>"</t>
    </r>
  </si>
  <si>
    <t>This will automatically open an editable copy to your Google Drive</t>
  </si>
  <si>
    <t>To Use this Spreadsheet:</t>
  </si>
  <si>
    <t>Open the sheet for the desired Gladiator model.</t>
  </si>
  <si>
    <t>Select the desired features in Column G by placing an x</t>
  </si>
  <si>
    <t>In the 2nd section, place an x next to the expected Invoice discount</t>
  </si>
  <si>
    <t>Fill any relevant trade-in, deposit or dealer fees</t>
  </si>
  <si>
    <t>Set the tax rate for your area</t>
  </si>
  <si>
    <t>For financing, enter the interest rate you're getting</t>
  </si>
  <si>
    <t>For financing, set the term of your loan in months (eg. 72 mos = 6 years)</t>
  </si>
  <si>
    <t>Buy Me a cup of Coffee (or something)</t>
  </si>
  <si>
    <t>ONLY EDIT YELLOW CELLS</t>
  </si>
  <si>
    <t>Blue text is calculated, DO NOT EDIT.</t>
  </si>
  <si>
    <t>Red text indicates price changes based on options selected.</t>
  </si>
  <si>
    <t>Last Edited: January 8, 2021</t>
  </si>
  <si>
    <t>Custom</t>
  </si>
  <si>
    <t>To Edit, Open File Menu and choose "Make a Copy"</t>
  </si>
  <si>
    <t>CODE</t>
  </si>
  <si>
    <t>Option</t>
  </si>
  <si>
    <t>Invoice</t>
  </si>
  <si>
    <t>MSRP</t>
  </si>
  <si>
    <t>Extended Invoice</t>
  </si>
  <si>
    <t>Extended MSRP</t>
  </si>
  <si>
    <t>Build</t>
  </si>
  <si>
    <t xml:space="preserve">Enter X within the Build column (G4-23) by each desired feature. </t>
  </si>
  <si>
    <t>2_B</t>
  </si>
  <si>
    <t>JT SPORT</t>
  </si>
  <si>
    <t>x</t>
  </si>
  <si>
    <t>Notes/Requirements</t>
  </si>
  <si>
    <t>DFT</t>
  </si>
  <si>
    <t>8-Speed Automatic 850RE Transmission</t>
  </si>
  <si>
    <t>DFV</t>
  </si>
  <si>
    <t>8-Speed Automatic 8HP75 Transmission</t>
  </si>
  <si>
    <t>EXJ</t>
  </si>
  <si>
    <t>3.0L V6 Turbo Diesel Engine w/ESS</t>
  </si>
  <si>
    <t>CWA</t>
  </si>
  <si>
    <t>All Weather Floor Mats</t>
  </si>
  <si>
    <t>DSA</t>
  </si>
  <si>
    <t>Trac-Lok Anti-Spin Rear Differential</t>
  </si>
  <si>
    <t>AM2</t>
  </si>
  <si>
    <t>Aux Switch Group</t>
  </si>
  <si>
    <t>HT1</t>
  </si>
  <si>
    <t>Black Freedom Top 3-Piece Hard Top</t>
  </si>
  <si>
    <t>GCD</t>
  </si>
  <si>
    <t>Deep Tint Windows</t>
  </si>
  <si>
    <t>NHK</t>
  </si>
  <si>
    <t>Engine Block Heater</t>
  </si>
  <si>
    <t>XWX</t>
  </si>
  <si>
    <t>Jeep Trail Rated Kit</t>
  </si>
  <si>
    <t>AJQ</t>
  </si>
  <si>
    <t>Max Tow Package w/ 4.10 Axle Ratio</t>
  </si>
  <si>
    <t>CSD</t>
  </si>
  <si>
    <t>Roll-Up Tonneau Cover</t>
  </si>
  <si>
    <t>RSD</t>
  </si>
  <si>
    <t>SiriusXM w/ 1-Year Radio Subscription</t>
  </si>
  <si>
    <t>AWS</t>
  </si>
  <si>
    <t>Smokers Group</t>
  </si>
  <si>
    <t>CWJ</t>
  </si>
  <si>
    <t>Soft Top Window Storage Bag</t>
  </si>
  <si>
    <t>XMF</t>
  </si>
  <si>
    <t>Spray-In Bedliner</t>
  </si>
  <si>
    <t>ABR</t>
  </si>
  <si>
    <t>Trailer Tow</t>
  </si>
  <si>
    <t>CSU</t>
  </si>
  <si>
    <t>Mopar Hard Tri-fold Tonneau Cover</t>
  </si>
  <si>
    <t>CT6</t>
  </si>
  <si>
    <t>Mopar Soft Tri-fold Tonneau Cover</t>
  </si>
  <si>
    <t>"Non-White" Paint Color Surcharge</t>
  </si>
  <si>
    <t>Required for any color other than White</t>
  </si>
  <si>
    <t>TOTAL</t>
  </si>
  <si>
    <t>Jeep.com Configurator Price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</si>
  <si>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</si>
  <si>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% Below Invoice</t>
  </si>
  <si>
    <t>Price + Destination Charge</t>
  </si>
  <si>
    <t>Trade In (if applicable)</t>
  </si>
  <si>
    <t>Enter trade-in value or leave blank.</t>
  </si>
  <si>
    <t>Downpayment (if applicable)</t>
  </si>
  <si>
    <t>Enter downpayment or leave blank.</t>
  </si>
  <si>
    <t>Dealer Fees (if applicable)</t>
  </si>
  <si>
    <t>Enter dealer fees or leave blank.</t>
  </si>
  <si>
    <t>Other Costs (if applicable)</t>
  </si>
  <si>
    <t>Enter other costs or leave blank.</t>
  </si>
  <si>
    <t>Taxes (if applicable)</t>
  </si>
  <si>
    <t>Enter tax rate in Column D</t>
  </si>
  <si>
    <t>FINAL TOTAL</t>
  </si>
  <si>
    <t>FINANCING</t>
  </si>
  <si>
    <t>Amount</t>
  </si>
  <si>
    <t>Auto fills from FINAL TOTAL.</t>
  </si>
  <si>
    <t>Rate</t>
  </si>
  <si>
    <t>Enter rate (will auto convert to %).</t>
  </si>
  <si>
    <t>Length (months)</t>
  </si>
  <si>
    <t>Enter total months to pay off loan.</t>
  </si>
  <si>
    <t>MONTHLY PYMT</t>
  </si>
  <si>
    <t>Last Updated October 21st, 2020</t>
  </si>
  <si>
    <t xml:space="preserve">Enter X within the Build column (G4-20) by each desired feature. </t>
  </si>
  <si>
    <t>JT WILLYS SPORT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</si>
  <si>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</si>
  <si>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 xml:space="preserve">Willys Additions Include: </t>
  </si>
  <si>
    <t>* Black Aluminum Wheels</t>
  </si>
  <si>
    <t>* All Weather Slush Mats</t>
  </si>
  <si>
    <t>* Body Color Fenders</t>
  </si>
  <si>
    <t>* Trac-Lok (Limited Slip)</t>
  </si>
  <si>
    <t>* Black Grille</t>
  </si>
  <si>
    <t>* Red Heavy Duty Red Shocks (Front &amp; Rear) - Same as Max Tow, but red</t>
  </si>
  <si>
    <t>* LT255/75R17C Tires</t>
  </si>
  <si>
    <t>* Mojave/Rubicon "protection sills"</t>
  </si>
  <si>
    <t>Code</t>
  </si>
  <si>
    <t xml:space="preserve">Enter X within the Build column (G4-37) by each desired feature. </t>
  </si>
  <si>
    <t>2_S</t>
  </si>
  <si>
    <t>JT SPORT S</t>
  </si>
  <si>
    <t>8-Speed Automatic 850Re Transmission</t>
  </si>
  <si>
    <t>AEK</t>
  </si>
  <si>
    <t>8.4" Radio &amp; Premium Audio Group</t>
  </si>
  <si>
    <t>ALP</t>
  </si>
  <si>
    <t>Advanced Safety Group</t>
  </si>
  <si>
    <t>All Weather Slush Mats</t>
  </si>
  <si>
    <t>RC4</t>
  </si>
  <si>
    <t>Alpine Premium Audio System</t>
  </si>
  <si>
    <t>Anti-Spin Rear Differential {Trac-Lok}</t>
  </si>
  <si>
    <t>Auxiliary Switch Group</t>
  </si>
  <si>
    <t>Black 3-Piece Hard Top</t>
  </si>
  <si>
    <t>CMD</t>
  </si>
  <si>
    <t>Cargo Management Group w/ Trail Rail System</t>
  </si>
  <si>
    <t>ADE</t>
  </si>
  <si>
    <t>Cold Weather Group</t>
  </si>
  <si>
    <t>ADC</t>
  </si>
  <si>
    <t>Convenience Group</t>
  </si>
  <si>
    <t>AEN</t>
  </si>
  <si>
    <t>Dual Top Group</t>
  </si>
  <si>
    <t>ADA</t>
  </si>
  <si>
    <t>LED Headlamp and Fog Lamp Group</t>
  </si>
  <si>
    <t>CHD</t>
  </si>
  <si>
    <t>Hardtop Headliner</t>
  </si>
  <si>
    <t>AEH</t>
  </si>
  <si>
    <t>Popular Equipment Package</t>
  </si>
  <si>
    <t>STB</t>
  </si>
  <si>
    <t>Premium Black Sunrider Soft Top</t>
  </si>
  <si>
    <t>AJ1</t>
  </si>
  <si>
    <t>Safety Group</t>
  </si>
  <si>
    <t>DHP</t>
  </si>
  <si>
    <t>Selec-Trac Full TIme 4WD System</t>
  </si>
  <si>
    <t>MRK</t>
  </si>
  <si>
    <t>Side Steps</t>
  </si>
  <si>
    <t>XHC</t>
  </si>
  <si>
    <t>AAN</t>
  </si>
  <si>
    <t>Technology Group</t>
  </si>
  <si>
    <t>Trailer Tow Package</t>
  </si>
  <si>
    <t>RSJ</t>
  </si>
  <si>
    <t>Wireless Blutooth Speaker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</si>
  <si>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</si>
  <si>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 xml:space="preserve">Enter X within the Build column (G4-34) by each desired feature. </t>
  </si>
  <si>
    <t>X</t>
  </si>
  <si>
    <t>Included with Willys Package (26W)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</si>
  <si>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</si>
  <si>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* Convenience Group</t>
  </si>
  <si>
    <t>* Technology Group</t>
  </si>
  <si>
    <t>Incentives/Trade In (if applicable)</t>
  </si>
  <si>
    <t>* Rock Sliders</t>
  </si>
  <si>
    <t>2_F</t>
  </si>
  <si>
    <t>JT Freedom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</si>
  <si>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</si>
  <si>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Freedom Edition Includes:</t>
  </si>
  <si>
    <t>* Satin Carbon Painted Wheels</t>
  </si>
  <si>
    <t>* Rubicon Front/Rear Steel Bumpers (MC6/MD6)</t>
  </si>
  <si>
    <t>* Rubicon Rock Sliders</t>
  </si>
  <si>
    <t>* Red Suspension Springs</t>
  </si>
  <si>
    <t>* Freedom Badging &amp; Accents</t>
  </si>
  <si>
    <t>* Premium Black Sunrider Soft Top</t>
  </si>
  <si>
    <t>* LED Headlamp &amp; Fog Lamp Group</t>
  </si>
  <si>
    <t>Last Updated January 8th, 2021</t>
  </si>
  <si>
    <t xml:space="preserve">Enter X within the Build column (G4-35) by each desired feature. 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</si>
  <si>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</si>
  <si>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 xml:space="preserve">80th Anniversary Additions Include: </t>
  </si>
  <si>
    <t>* 8.4" Radio w/ Premium Audio Group</t>
  </si>
  <si>
    <t>* Convenience &amp; Technology Group</t>
  </si>
  <si>
    <t>* Grey/Black 80th Anniversary badging (seats, carpets, dashboard)</t>
  </si>
  <si>
    <t>* Grey/Black 80th Anniversary badging (exterior decals, grille)</t>
  </si>
  <si>
    <t>* Granite Crystal 18" Wheels</t>
  </si>
  <si>
    <t>* 32" All Terrain Tires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</si>
  <si>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</si>
  <si>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California Edition</t>
  </si>
  <si>
    <t>* Gloss Black Instrument Panels</t>
  </si>
  <si>
    <t>* Trailer Tow Package</t>
  </si>
  <si>
    <t>* Black, Three-Piece Hard Top</t>
  </si>
  <si>
    <t>Last Updated November 22nd, 2020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</si>
  <si>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</si>
  <si>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Texas Edition</t>
  </si>
  <si>
    <t>* Convenience Package</t>
  </si>
  <si>
    <t>* Side Steps</t>
  </si>
  <si>
    <t>* Texas Trail Decals</t>
  </si>
  <si>
    <t xml:space="preserve">Invoice  </t>
  </si>
  <si>
    <t>Enter X within the Build column (G4-37) by each desired feature.</t>
  </si>
  <si>
    <t>2_D</t>
  </si>
  <si>
    <t>JT MOJAVE</t>
  </si>
  <si>
    <t>WFA</t>
  </si>
  <si>
    <t>17" X 7.5" Gloss Black Polished Wheels</t>
  </si>
  <si>
    <t>8.4" Radio and Premium Audio Group</t>
  </si>
  <si>
    <t>Black Freedom 3-Piece Hard Top</t>
  </si>
  <si>
    <t>HT3</t>
  </si>
  <si>
    <t>Body Color 3-Piece Hard Top</t>
  </si>
  <si>
    <t>MM3</t>
  </si>
  <si>
    <t>Body-Color Fender Flares 2-Pc</t>
  </si>
  <si>
    <t>Cargo Management Group With Trail Rail System</t>
  </si>
  <si>
    <t>XNY</t>
  </si>
  <si>
    <t>Integrated Trailcam Off-Road Camera</t>
  </si>
  <si>
    <t>AD6</t>
  </si>
  <si>
    <t>LED Lighting Group</t>
  </si>
  <si>
    <t>TWG</t>
  </si>
  <si>
    <t>LT285/70R17C BSW M/T Tires</t>
  </si>
  <si>
    <t>GXD</t>
  </si>
  <si>
    <t>Remote Proximitry Keyless Entry</t>
  </si>
  <si>
    <t>XBM</t>
  </si>
  <si>
    <t>Remote Start System</t>
  </si>
  <si>
    <t>Smoker's Group</t>
  </si>
  <si>
    <t>PLX9/PLTA</t>
  </si>
  <si>
    <t>Leather Trimmed Bucket Seats</t>
  </si>
  <si>
    <t>"Go Fast Over Rough and Undulating Terrain. Look Good Doing It."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</si>
  <si>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</si>
  <si>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Mojave Additions Include:</t>
  </si>
  <si>
    <t>* Aggressive Hood (Non-Functioning Scoop)</t>
  </si>
  <si>
    <t>* Reinforced Frame</t>
  </si>
  <si>
    <t>* Improved Suspension</t>
  </si>
  <si>
    <t>* Wheels w/ "Aggressive" Offset</t>
  </si>
  <si>
    <t>* Light-weight Front Skidplate</t>
  </si>
  <si>
    <t>* High Speed Rear Locker</t>
  </si>
  <si>
    <t>* Unique Interior:</t>
  </si>
  <si>
    <t xml:space="preserve">  * Orange Highlights</t>
  </si>
  <si>
    <t xml:space="preserve">  * "Aggressive" Steering Wheel</t>
  </si>
  <si>
    <t xml:space="preserve">  * "Aggressive" Seats with Bolsters</t>
  </si>
  <si>
    <t>* Exterior Badging</t>
  </si>
  <si>
    <t xml:space="preserve">  * Desert Rated</t>
  </si>
  <si>
    <t>* High Clearance Fenders</t>
  </si>
  <si>
    <t>Enter X within the Build column (G4-40) by each desired feature.</t>
  </si>
  <si>
    <t>2_R</t>
  </si>
  <si>
    <t>JT Rubicon</t>
  </si>
  <si>
    <t>WFN</t>
  </si>
  <si>
    <t>17" X 7.5" Aluminum Wheels</t>
  </si>
  <si>
    <t>DHF</t>
  </si>
  <si>
    <t>4:1 Rock-Trac Full Time 4WD System</t>
  </si>
  <si>
    <t>MC6</t>
  </si>
  <si>
    <t>Steel Front Bumper</t>
  </si>
  <si>
    <t>ALX9/ALTV</t>
  </si>
  <si>
    <t>"Go OVER Anything That Gets in Your Way."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</si>
  <si>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</si>
  <si>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Rubicon Additions Include:</t>
  </si>
  <si>
    <t>* Beefy Hood</t>
  </si>
  <si>
    <t>* Low Gear Transfer Case (crawl mode)</t>
  </si>
  <si>
    <t>* Improved, lifted suspension</t>
  </si>
  <si>
    <t>* Front &amp; Rear Lockers</t>
  </si>
  <si>
    <t>* Electronic Sway-Bar Disconnects</t>
  </si>
  <si>
    <t>* Steel Front/Rear Bumpers</t>
  </si>
  <si>
    <t>* Steel Skid Plate</t>
  </si>
  <si>
    <t>* Unique Interior</t>
  </si>
  <si>
    <t xml:space="preserve">  * Red accents on dash</t>
  </si>
  <si>
    <t xml:space="preserve">  * Rubicon badged seats</t>
  </si>
  <si>
    <t>* Unique Exterior</t>
  </si>
  <si>
    <t xml:space="preserve">  * Red accents</t>
  </si>
  <si>
    <t xml:space="preserve">  * Rubicon Badging</t>
  </si>
  <si>
    <t>Purchase</t>
  </si>
  <si>
    <r>
      <rPr>
        <rFont val="Calibri"/>
        <b/>
        <color rgb="FF000000"/>
        <sz val="10.0"/>
      </rPr>
      <t xml:space="preserve">Pick </t>
    </r>
    <r>
      <rPr>
        <rFont val="Calibri"/>
        <b/>
        <color rgb="FF000000"/>
        <sz val="10.0"/>
        <u/>
      </rPr>
      <t>ONE (1)</t>
    </r>
    <r>
      <rPr>
        <rFont val="Calibri"/>
        <b/>
        <color rgb="FF000000"/>
        <sz val="10.0"/>
      </rPr>
      <t xml:space="preserve"> of the values calculated in column D and enter the letter X into the corresponding cell on the right (column E).</t>
    </r>
  </si>
  <si>
    <t>Lease</t>
  </si>
  <si>
    <t>Enter your values in the yellow fields</t>
  </si>
  <si>
    <t xml:space="preserve">Enter MSRP </t>
  </si>
  <si>
    <t>Residual %</t>
  </si>
  <si>
    <t>Get this from your Dealer</t>
  </si>
  <si>
    <t>Residual Value</t>
  </si>
  <si>
    <t>Automatically Calculated</t>
  </si>
  <si>
    <t>Sales Price</t>
  </si>
  <si>
    <t>Fees</t>
  </si>
  <si>
    <t>Gross Cap Cost</t>
  </si>
  <si>
    <t>Trade In</t>
  </si>
  <si>
    <t>Down Payment/Rebates</t>
  </si>
  <si>
    <t>Adjusted Cap Cost</t>
  </si>
  <si>
    <t>Depreciation</t>
  </si>
  <si>
    <t>Lease Term</t>
  </si>
  <si>
    <t>Base Payment</t>
  </si>
  <si>
    <t>Money Factor</t>
  </si>
  <si>
    <t>Rent Charge</t>
  </si>
  <si>
    <t>Pretax Lease Payment</t>
  </si>
  <si>
    <t>Sales Tax Rate</t>
  </si>
  <si>
    <t>Enter Tax Rate in Column B</t>
  </si>
  <si>
    <t>Lease Payment</t>
  </si>
  <si>
    <t>Extended
Invoice</t>
  </si>
  <si>
    <t>Extended
MSRP</t>
  </si>
  <si>
    <t>Enter X within the Build column (G4-38) by each desired feature.</t>
  </si>
  <si>
    <t>2_G</t>
  </si>
  <si>
    <t>JT OVERLAND</t>
  </si>
  <si>
    <t>Anti-Spin Rear Differential (Trac-Lok)</t>
  </si>
  <si>
    <t>Integrated Off-Road Camera</t>
  </si>
  <si>
    <t>Premium Blk Sunrider Soft Top</t>
  </si>
  <si>
    <t>MLTV/MLX9</t>
  </si>
  <si>
    <t>Non-White Paint Color Surcharge</t>
  </si>
  <si>
    <t>Daily Driver that can go offroad, staying comfortable either way.</t>
  </si>
  <si>
    <r>
      <rPr>
        <rFont val="Calibri,Arial"/>
        <b/>
        <color rgb="FF000000"/>
        <sz val="10.0"/>
      </rPr>
      <t xml:space="preserve">Pick </t>
    </r>
    <r>
      <rPr>
        <rFont val="Calibri,Arial"/>
        <b/>
        <color rgb="FF000000"/>
        <sz val="10.0"/>
        <u/>
      </rPr>
      <t>ONE (1)</t>
    </r>
    <r>
      <rPr>
        <rFont val="Calibri,Arial"/>
        <b/>
        <color rgb="FF000000"/>
        <sz val="10.0"/>
      </rPr>
      <t xml:space="preserve"> of the values calculated in column D and enter the letter X into the corresponding cell on the right (column E).</t>
    </r>
  </si>
  <si>
    <t>Overland Additions Include:</t>
  </si>
  <si>
    <t>* Body Color Top &amp; Fenders</t>
  </si>
  <si>
    <t>Included with High Altitude</t>
  </si>
  <si>
    <r>
      <rPr>
        <rFont val="Calibri,Arial"/>
        <b/>
        <color rgb="FF000000"/>
        <sz val="10.0"/>
      </rPr>
      <t xml:space="preserve">Pick </t>
    </r>
    <r>
      <rPr>
        <rFont val="Calibri,Arial"/>
        <b/>
        <color rgb="FF000000"/>
        <sz val="10.0"/>
        <u/>
      </rPr>
      <t>ONE (1)</t>
    </r>
    <r>
      <rPr>
        <rFont val="Calibri,Arial"/>
        <b/>
        <color rgb="FF000000"/>
        <sz val="10.0"/>
      </rPr>
      <t xml:space="preserve"> of the values calculated in column D and enter the letter X into the corresponding cell on the right (column E).</t>
    </r>
  </si>
  <si>
    <t>High Altitude Additions Include:</t>
  </si>
  <si>
    <t>* Body Color Top, Fenders and Bumpers</t>
  </si>
  <si>
    <t>* Safety Group</t>
  </si>
  <si>
    <t>* 8.4" Radio &amp; Premium Audio</t>
  </si>
  <si>
    <t>* LED Lighting</t>
  </si>
  <si>
    <t>* Leather Interior w/ Caramel Accents</t>
  </si>
  <si>
    <t>* Sport suspension</t>
  </si>
  <si>
    <t>* Wide Front/Rear Axles (Rubicon Axles)</t>
  </si>
  <si>
    <t xml:space="preserve"> </t>
  </si>
  <si>
    <t>Enter X within the Build column (G) by each desired feature.</t>
  </si>
  <si>
    <t>MRU</t>
  </si>
  <si>
    <t>Mopar Black Tubular Side Steps</t>
  </si>
  <si>
    <t>M9B</t>
  </si>
  <si>
    <t>Mopar Body Side Gaphic Retro)</t>
  </si>
  <si>
    <t>Mopar Body Side Gaphic Star)</t>
  </si>
  <si>
    <t>M9A</t>
  </si>
  <si>
    <t>Mopar Body Side Graphic Hex)</t>
  </si>
  <si>
    <t>CLN</t>
  </si>
  <si>
    <t>Mopar Bright Door Sills</t>
  </si>
  <si>
    <t>MRT</t>
  </si>
  <si>
    <t>Mopar Chrome Tubular Side Steps</t>
  </si>
  <si>
    <t>JFF</t>
  </si>
  <si>
    <t>Mopar Cold Air Intake System</t>
  </si>
  <si>
    <t>CSV</t>
  </si>
  <si>
    <t>Mopar Grab Handles</t>
  </si>
  <si>
    <t>MMU</t>
  </si>
  <si>
    <t>Mopar HD Rock Slider w/ Step Assist</t>
  </si>
  <si>
    <t>M9E</t>
  </si>
  <si>
    <t>Mopar Hood Decal 1941)</t>
  </si>
  <si>
    <t>M9D</t>
  </si>
  <si>
    <t>Mopar Hood Decal American Flag)</t>
  </si>
  <si>
    <t>CS7</t>
  </si>
  <si>
    <t>Mopar Mesh Sunbonnet Top</t>
  </si>
  <si>
    <t>CBQ</t>
  </si>
  <si>
    <t>Mopar Perforated Leather Upgrade - Black</t>
  </si>
  <si>
    <t>CLP</t>
  </si>
  <si>
    <t>Mopar Plastic Door Sill Guards</t>
  </si>
  <si>
    <t>MEG</t>
  </si>
  <si>
    <t>Mopar Rear Splash Guards</t>
  </si>
  <si>
    <t>MHJ</t>
  </si>
  <si>
    <t>Mopar Satin Black Grille</t>
  </si>
  <si>
    <t>NNC</t>
  </si>
  <si>
    <t>Mopar Snorkel</t>
  </si>
  <si>
    <t>CS3</t>
  </si>
  <si>
    <t>Mopar Solid Sunbonnet Top</t>
  </si>
  <si>
    <t>MKN</t>
  </si>
  <si>
    <t>Mopar Splash Guards - Vehicle Set</t>
  </si>
  <si>
    <t>CBS</t>
  </si>
  <si>
    <t>Mopar Stitched Leather Upgrade - Black</t>
  </si>
  <si>
    <t>CT9</t>
  </si>
  <si>
    <t>Mopar Windshield Tie Down Strap</t>
  </si>
  <si>
    <t>Unlisted Item</t>
  </si>
  <si>
    <t>Total Mopar Add-On Cost</t>
  </si>
  <si>
    <t>Price pulled from sheet "Mopar Add-Ons"</t>
  </si>
  <si>
    <t>Updated July 13th, 2020</t>
  </si>
  <si>
    <t>- Add "Freedom" &amp; "Texas" editions</t>
  </si>
  <si>
    <t>- Update Feature Availability</t>
  </si>
  <si>
    <t>- Update Prices for Features</t>
  </si>
  <si>
    <t>- Add Finance Tab with sales &amp; lease calculations</t>
  </si>
  <si>
    <t>October 7th, 2020</t>
  </si>
  <si>
    <t>- Price increase of ~$20 across all models</t>
  </si>
  <si>
    <t>- Added LED group for Sport S level trucks</t>
  </si>
  <si>
    <t>August 14th, 2020</t>
  </si>
  <si>
    <t>- Added 80th Anniversary</t>
  </si>
  <si>
    <t>August 11th, 2020</t>
  </si>
  <si>
    <t>- Updated Sport, WIllys Sport, Sport S, Willys, Rubicon, Mojave, Overland Prices</t>
  </si>
  <si>
    <t>- Added High Altitude</t>
  </si>
  <si>
    <t>August 1st, 2020</t>
  </si>
  <si>
    <t>- Added Willys &amp; WIllys Sport sheets</t>
  </si>
  <si>
    <t>- Started adding feature descriptions unique to each model</t>
  </si>
  <si>
    <t>July 25th, 2020</t>
  </si>
  <si>
    <t>- Fixed some MSRP calculation issues</t>
  </si>
  <si>
    <t>- Added "Custom" row for entering your own Dealer Price vs a % under invoice calculation</t>
  </si>
  <si>
    <t>July 13th, 2020</t>
  </si>
  <si>
    <t>- Sport sheet complete</t>
  </si>
  <si>
    <t>- Sport S sheet complete</t>
  </si>
  <si>
    <t>- Mojave sheet complete</t>
  </si>
  <si>
    <t>- Rubicon sheet complete</t>
  </si>
  <si>
    <t>- Overland sheet complete</t>
  </si>
  <si>
    <t>- Mopar Add-Ons sheet updated</t>
  </si>
  <si>
    <t>- Create High Altitude Sheet (but you can create the same from the Overland sheet currently)</t>
  </si>
  <si>
    <t>- Create master sheet with all options listing; option code, option name, option description and model code (see other sheet)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</si>
</sst>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&quot;$&quot;#,##0.00"/>
    <numFmt numFmtId="165" formatCode="&quot;$&quot;#,##0.00_);\(&quot;$&quot;#,##0.00\)"/>
    <numFmt numFmtId="166" formatCode="0.0%"/>
    <numFmt numFmtId="167" formatCode="&quot;$&quot;#,##0.00_);[Red]\(&quot;$&quot;#,##0.00\)"/>
    <numFmt numFmtId="168" formatCode="&quot;$&quot;#,##0"/>
    <numFmt numFmtId="169" formatCode="mmmm yyyy"/>
  </numFmts>
  <fonts count="83">
    <font>
      <sz val="11.0"/>
      <color rgb="FF000000"/>
      <name val="Calibri"/>
    </font>
    <font/>
    <font>
      <sz val="18.0"/>
      <color rgb="FFFFFFFF"/>
    </font>
    <font>
      <sz val="14.0"/>
    </font>
    <font>
      <sz val="18.0"/>
    </font>
    <font>
      <sz val="24.0"/>
    </font>
    <font>
      <b/>
      <sz val="24.0"/>
      <color rgb="FFFF0000"/>
    </font>
    <font>
      <sz val="14.0"/>
      <color rgb="FF000000"/>
      <name val="Docs-Calibri"/>
    </font>
    <font>
      <sz val="14.0"/>
      <color rgb="FF000000"/>
      <name val="Calibri"/>
    </font>
    <font>
      <u/>
      <sz val="18.0"/>
      <color rgb="FF1155CC"/>
    </font>
    <font>
      <sz val="14.0"/>
      <color rgb="FF0000FF"/>
    </font>
    <font>
      <sz val="14.0"/>
      <color rgb="FFCC0000"/>
    </font>
    <font>
      <i/>
      <sz val="11.0"/>
    </font>
    <font>
      <b/>
      <sz val="11.0"/>
      <color rgb="FFFFFFFF"/>
      <name val="Calibri"/>
    </font>
    <font>
      <u/>
      <sz val="11.0"/>
      <color rgb="FFFF0000"/>
    </font>
    <font>
      <b/>
      <sz val="11.0"/>
      <color rgb="FF000000"/>
      <name val="Calibri"/>
    </font>
    <font>
      <sz val="10.0"/>
      <color rgb="FF000000"/>
      <name val="Calibri"/>
    </font>
    <font>
      <sz val="10.0"/>
      <color rgb="FF0000FF"/>
      <name val="Calibri"/>
    </font>
    <font>
      <b/>
      <sz val="10.0"/>
      <color rgb="FF000000"/>
      <name val="Calibri"/>
    </font>
    <font>
      <sz val="10.0"/>
      <name val="Calibri"/>
    </font>
    <font>
      <sz val="10.0"/>
      <color rgb="FFFF0000"/>
      <name val="Calibri"/>
    </font>
    <font>
      <sz val="10.0"/>
      <color rgb="FFCC0000"/>
      <name val="Calibri"/>
    </font>
    <font>
      <sz val="10.0"/>
      <color rgb="FF980000"/>
      <name val="Calibri"/>
    </font>
    <font>
      <i/>
      <sz val="10.0"/>
      <color rgb="FF0000FF"/>
      <name val="Calibri"/>
    </font>
    <font>
      <b/>
      <i/>
      <sz val="10.0"/>
      <color rgb="FF0000FF"/>
      <name val="Calibri"/>
    </font>
    <font>
      <b/>
      <sz val="12.0"/>
      <color rgb="FF000000"/>
      <name val="Calibri"/>
    </font>
    <font>
      <sz val="12.0"/>
      <color rgb="FF0000FF"/>
      <name val="Calibri"/>
    </font>
    <font>
      <sz val="12.0"/>
      <color rgb="FF000000"/>
      <name val="Calibri"/>
    </font>
    <font>
      <i/>
      <sz val="12.0"/>
      <color rgb="FFB7B7B7"/>
      <name val="Calibri"/>
    </font>
    <font>
      <b/>
      <sz val="12.0"/>
      <color rgb="FFB7B7B7"/>
      <name val="Calibri"/>
    </font>
    <font>
      <b/>
      <sz val="10.0"/>
      <color rgb="FFB7B7B7"/>
      <name val="Calibri"/>
    </font>
    <font>
      <sz val="10.0"/>
      <color rgb="FF666666"/>
      <name val="Calibri"/>
    </font>
    <font>
      <b/>
      <sz val="14.0"/>
      <color rgb="FF000000"/>
      <name val="Calibri"/>
    </font>
    <font>
      <i/>
    </font>
    <font>
      <b/>
      <color rgb="FF000000"/>
      <name val="Calibri"/>
    </font>
    <font>
      <name val="Calibri"/>
    </font>
    <font>
      <i/>
      <sz val="10.0"/>
      <name val="Calibri"/>
    </font>
    <font>
      <sz val="12.0"/>
      <name val="Calibri"/>
    </font>
    <font>
      <sz val="10.0"/>
      <color rgb="FF434343"/>
      <name val="Calibri"/>
    </font>
    <font>
      <b/>
      <sz val="10.0"/>
      <color rgb="FF434343"/>
      <name val="Calibri"/>
    </font>
    <font>
      <b/>
      <sz val="10.0"/>
      <name val="Calibri"/>
    </font>
    <font>
      <sz val="10.0"/>
      <color rgb="FFF3F3F3"/>
      <name val="Calibri"/>
    </font>
    <font>
      <sz val="10.0"/>
      <color rgb="FF990000"/>
      <name val="Calibri"/>
    </font>
    <font>
      <b/>
      <sz val="10.0"/>
      <color rgb="FFFFFFFF"/>
      <name val="Calibri"/>
    </font>
    <font>
      <b/>
      <sz val="11.0"/>
      <color rgb="FFFFFFFF"/>
      <name val="Arial"/>
    </font>
    <font>
      <sz val="10.0"/>
      <color rgb="FF7F6000"/>
      <name val="Calibri"/>
    </font>
    <font>
      <b/>
      <sz val="10.0"/>
      <color rgb="FF7F6000"/>
      <name val="Calibri"/>
    </font>
    <font>
      <sz val="10.0"/>
      <color rgb="FFBF9000"/>
      <name val="Calibri"/>
    </font>
    <font>
      <b/>
      <color rgb="FF7F6000"/>
      <name val="Calibri"/>
    </font>
    <font>
      <color rgb="FF7F6000"/>
      <name val="Calibri"/>
    </font>
    <font>
      <sz val="10.0"/>
      <color rgb="FF1C4587"/>
      <name val="Calibri"/>
    </font>
    <font>
      <sz val="11.0"/>
      <color rgb="FFFFFFFF"/>
      <name val="Calibri"/>
    </font>
    <font>
      <sz val="11.0"/>
      <name val="Calibri"/>
    </font>
    <font>
      <b/>
      <sz val="11.0"/>
      <name val="Calibri"/>
    </font>
    <font>
      <i/>
      <sz val="12.0"/>
      <name val="Calibri"/>
    </font>
    <font>
      <b/>
      <color rgb="FF783F04"/>
    </font>
    <font>
      <sz val="11.0"/>
      <color rgb="FFFF0000"/>
      <name val="Calibri"/>
    </font>
    <font>
      <sz val="11.0"/>
      <color rgb="FF38761D"/>
      <name val="Calibri"/>
    </font>
    <font>
      <sz val="11.0"/>
      <color rgb="FF990000"/>
      <name val="Calibri"/>
    </font>
    <font>
      <b/>
      <sz val="10.0"/>
      <color rgb="FF0000FF"/>
      <name val="Calibri"/>
    </font>
    <font>
      <i/>
      <sz val="11.0"/>
      <name val="Calibri"/>
    </font>
    <font>
      <b/>
      <color rgb="FFFFFFFF"/>
    </font>
    <font>
      <sz val="11.0"/>
    </font>
    <font>
      <i/>
      <sz val="14.0"/>
      <color rgb="FF000000"/>
      <name val="Calibri"/>
    </font>
    <font>
      <i/>
      <sz val="9.0"/>
      <name val="Calibri"/>
    </font>
    <font>
      <sz val="12.0"/>
    </font>
    <font>
      <color rgb="FF000000"/>
      <name val="Calibri"/>
    </font>
    <font>
      <b/>
    </font>
    <font>
      <sz val="10.0"/>
    </font>
    <font>
      <color rgb="FFFF0000"/>
      <name val="Calibri"/>
    </font>
    <font>
      <sz val="11.0"/>
      <color rgb="FF0000FF"/>
      <name val="Calibri"/>
    </font>
    <font>
      <i/>
      <color rgb="FF0000FF"/>
      <name val="Calibri"/>
    </font>
    <font>
      <color rgb="FF0000FF"/>
      <name val="Calibri"/>
    </font>
    <font>
      <sz val="10.0"/>
      <color rgb="FF674EA7"/>
      <name val="Calibri"/>
    </font>
    <font>
      <b/>
      <sz val="10.0"/>
      <color rgb="FF351C75"/>
      <name val="Calibri"/>
    </font>
    <font>
      <b/>
      <color rgb="FFD9D2E9"/>
    </font>
    <font>
      <sz val="11.0"/>
      <color rgb="FFB7B7B7"/>
      <name val="Calibri"/>
    </font>
    <font>
      <i/>
      <sz val="11.0"/>
      <color rgb="FF000000"/>
      <name val="Calibri"/>
    </font>
    <font>
      <i/>
      <sz val="11.0"/>
      <color rgb="FF0000FF"/>
      <name val="Calibri"/>
    </font>
    <font>
      <b/>
      <i/>
      <sz val="11.0"/>
      <color rgb="FF000000"/>
      <name val="Calibri"/>
    </font>
    <font>
      <b/>
      <i/>
      <sz val="11.0"/>
      <name val="Calibri"/>
    </font>
    <font>
      <color rgb="FF999999"/>
    </font>
    <font>
      <b/>
      <sz val="12.0"/>
    </font>
  </fonts>
  <fills count="30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  <fill>
      <patternFill patternType="solid">
        <fgColor rgb="FFB6D7A8"/>
        <bgColor rgb="FFB6D7A8"/>
      </patternFill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666666"/>
        <bgColor rgb="FF666666"/>
      </patternFill>
    </fill>
    <fill>
      <patternFill patternType="solid">
        <fgColor rgb="FFFF9900"/>
        <bgColor rgb="FFFF9900"/>
      </patternFill>
    </fill>
    <fill>
      <patternFill patternType="solid">
        <fgColor rgb="FFFCE5CD"/>
        <bgColor rgb="FFFCE5CD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  <fill>
      <patternFill patternType="solid">
        <fgColor rgb="FFB7B7B7"/>
        <bgColor rgb="FFB7B7B7"/>
      </patternFill>
    </fill>
    <fill>
      <patternFill patternType="solid">
        <fgColor rgb="FF0B5394"/>
        <bgColor rgb="FF0B5394"/>
      </patternFill>
    </fill>
    <fill>
      <patternFill patternType="solid">
        <fgColor rgb="FF990000"/>
        <bgColor rgb="FF990000"/>
      </patternFill>
    </fill>
    <fill>
      <patternFill patternType="solid">
        <fgColor rgb="FFFFD966"/>
        <bgColor rgb="FFFFD966"/>
      </patternFill>
    </fill>
    <fill>
      <patternFill patternType="solid">
        <fgColor rgb="FFF1C232"/>
        <bgColor rgb="FFF1C232"/>
      </patternFill>
    </fill>
    <fill>
      <patternFill patternType="solid">
        <fgColor rgb="FFFFE599"/>
        <bgColor rgb="FFFFE599"/>
      </patternFill>
    </fill>
    <fill>
      <patternFill patternType="solid">
        <fgColor rgb="FFC9DAF8"/>
        <bgColor rgb="FFC9DAF8"/>
      </patternFill>
    </fill>
    <fill>
      <patternFill patternType="solid">
        <fgColor rgb="FF1155CC"/>
        <bgColor rgb="FF1155CC"/>
      </patternFill>
    </fill>
    <fill>
      <patternFill patternType="solid">
        <fgColor rgb="FF660000"/>
        <bgColor rgb="FF660000"/>
      </patternFill>
    </fill>
    <fill>
      <patternFill patternType="solid">
        <fgColor rgb="FF783F04"/>
        <bgColor rgb="FF783F04"/>
      </patternFill>
    </fill>
    <fill>
      <patternFill patternType="solid">
        <fgColor rgb="FF274E13"/>
        <bgColor rgb="FF274E13"/>
      </patternFill>
    </fill>
    <fill>
      <patternFill patternType="solid">
        <fgColor rgb="FFCC0000"/>
        <bgColor rgb="FFCC0000"/>
      </patternFill>
    </fill>
    <fill>
      <patternFill patternType="solid">
        <fgColor rgb="FF351C75"/>
        <bgColor rgb="FF351C75"/>
      </patternFill>
    </fill>
    <fill>
      <patternFill patternType="solid">
        <fgColor rgb="FFEAD1DC"/>
        <bgColor rgb="FFEAD1DC"/>
      </patternFill>
    </fill>
    <fill>
      <patternFill patternType="solid">
        <fgColor rgb="FFD9D2E9"/>
        <bgColor rgb="FFD9D2E9"/>
      </patternFill>
    </fill>
    <fill>
      <patternFill patternType="solid">
        <fgColor rgb="FF674EA7"/>
        <bgColor rgb="FF674EA7"/>
      </patternFill>
    </fill>
  </fills>
  <borders count="3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0000"/>
      </left>
      <top style="thin">
        <color rgb="FFFF0000"/>
      </top>
      <bottom style="thin">
        <color rgb="FFFF0000"/>
      </bottom>
    </border>
    <border>
      <top style="thin">
        <color rgb="FFFF0000"/>
      </top>
      <bottom style="thin">
        <color rgb="FFFF0000"/>
      </bottom>
    </border>
    <border>
      <right style="thin">
        <color rgb="FFFF0000"/>
      </right>
      <top style="thin">
        <color rgb="FFFF0000"/>
      </top>
      <bottom style="thin">
        <color rgb="FFFF0000"/>
      </bottom>
    </border>
    <border>
      <left style="double">
        <color rgb="FF980000"/>
      </left>
      <top style="double">
        <color rgb="FF980000"/>
      </top>
      <bottom style="double">
        <color rgb="FF980000"/>
      </bottom>
    </border>
    <border>
      <top style="double">
        <color rgb="FF980000"/>
      </top>
      <bottom style="double">
        <color rgb="FF980000"/>
      </bottom>
    </border>
    <border>
      <right style="double">
        <color rgb="FF980000"/>
      </right>
      <top style="double">
        <color rgb="FF980000"/>
      </top>
      <bottom style="double">
        <color rgb="FF98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980000"/>
      </left>
      <right style="thin">
        <color rgb="FF980000"/>
      </right>
      <top style="thin">
        <color rgb="FF98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right style="thin">
        <color rgb="FF000000"/>
      </right>
      <bottom style="double">
        <color rgb="FF000000"/>
      </bottom>
    </border>
    <border>
      <left style="thin">
        <color rgb="FF000000"/>
      </left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</border>
    <border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1155CC"/>
      </left>
      <right style="thin">
        <color rgb="FF1155CC"/>
      </right>
      <top style="thin">
        <color rgb="FF1155CC"/>
      </top>
      <bottom style="thin">
        <color rgb="FF1155CC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/>
      <bottom style="thin">
        <color rgb="FF000000"/>
      </bottom>
    </border>
    <border>
      <right/>
      <bottom style="double">
        <color rgb="FF000000"/>
      </bottom>
    </border>
    <border>
      <right/>
    </border>
  </borders>
  <cellStyleXfs count="1">
    <xf borderId="0" fillId="0" fontId="0" numFmtId="0" applyAlignment="1" applyFont="1"/>
  </cellStyleXfs>
  <cellXfs count="377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1" fillId="3" fontId="2" numFmtId="0" xfId="0" applyAlignment="1" applyBorder="1" applyFill="1" applyFont="1">
      <alignment horizontal="center" readingOrder="0" vertical="top"/>
    </xf>
    <xf borderId="2" fillId="0" fontId="1" numFmtId="0" xfId="0" applyBorder="1" applyFont="1"/>
    <xf borderId="3" fillId="0" fontId="1" numFmtId="0" xfId="0" applyBorder="1" applyFont="1"/>
    <xf borderId="0" fillId="2" fontId="3" numFmtId="0" xfId="0" applyAlignment="1" applyFont="1">
      <alignment horizontal="center" readingOrder="0" vertical="top"/>
    </xf>
    <xf borderId="0" fillId="2" fontId="4" numFmtId="0" xfId="0" applyAlignment="1" applyFont="1">
      <alignment horizontal="center" readingOrder="0" vertical="top"/>
    </xf>
    <xf borderId="0" fillId="4" fontId="4" numFmtId="0" xfId="0" applyAlignment="1" applyFill="1" applyFont="1">
      <alignment horizontal="center" readingOrder="0" vertical="top"/>
    </xf>
    <xf borderId="0" fillId="0" fontId="5" numFmtId="0" xfId="0" applyAlignment="1" applyFont="1">
      <alignment horizontal="center" readingOrder="0" vertical="top"/>
    </xf>
    <xf borderId="0" fillId="0" fontId="5" numFmtId="0" xfId="0" applyAlignment="1" applyFont="1">
      <alignment horizontal="left" readingOrder="0" vertical="top"/>
    </xf>
    <xf borderId="4" fillId="5" fontId="6" numFmtId="0" xfId="0" applyAlignment="1" applyBorder="1" applyFill="1" applyFont="1">
      <alignment horizontal="left" readingOrder="0" vertical="top"/>
    </xf>
    <xf borderId="5" fillId="0" fontId="1" numFmtId="0" xfId="0" applyBorder="1" applyFont="1"/>
    <xf borderId="6" fillId="0" fontId="1" numFmtId="0" xfId="0" applyBorder="1" applyFont="1"/>
    <xf borderId="0" fillId="0" fontId="5" numFmtId="0" xfId="0" applyAlignment="1" applyFont="1">
      <alignment horizontal="left" readingOrder="0" shrinkToFit="0" vertical="top" wrapText="1"/>
    </xf>
    <xf borderId="0" fillId="6" fontId="3" numFmtId="0" xfId="0" applyAlignment="1" applyFill="1" applyFont="1">
      <alignment horizontal="center" readingOrder="0" vertical="top"/>
    </xf>
    <xf borderId="0" fillId="0" fontId="3" numFmtId="0" xfId="0" applyAlignment="1" applyFont="1">
      <alignment horizontal="center" readingOrder="0" vertical="top"/>
    </xf>
    <xf borderId="0" fillId="0" fontId="7" numFmtId="0" xfId="0" applyAlignment="1" applyFont="1">
      <alignment horizontal="left" readingOrder="0"/>
    </xf>
    <xf borderId="0" fillId="0" fontId="3" numFmtId="0" xfId="0" applyAlignment="1" applyFont="1">
      <alignment horizontal="left" readingOrder="0" vertical="top"/>
    </xf>
    <xf borderId="0" fillId="0" fontId="8" numFmtId="0" xfId="0" applyAlignment="1" applyFont="1">
      <alignment horizontal="left" readingOrder="0"/>
    </xf>
    <xf borderId="0" fillId="2" fontId="4" numFmtId="0" xfId="0" applyFont="1"/>
    <xf borderId="7" fillId="0" fontId="9" numFmtId="0" xfId="0" applyAlignment="1" applyBorder="1" applyFont="1">
      <alignment horizontal="center" readingOrder="0" vertical="center"/>
    </xf>
    <xf borderId="8" fillId="0" fontId="1" numFmtId="0" xfId="0" applyBorder="1" applyFont="1"/>
    <xf borderId="9" fillId="0" fontId="1" numFmtId="0" xfId="0" applyBorder="1" applyFont="1"/>
    <xf borderId="0" fillId="7" fontId="3" numFmtId="0" xfId="0" applyAlignment="1" applyFill="1" applyFont="1">
      <alignment horizontal="center" readingOrder="0" vertical="top"/>
    </xf>
    <xf borderId="0" fillId="0" fontId="10" numFmtId="0" xfId="0" applyAlignment="1" applyFont="1">
      <alignment horizontal="center" readingOrder="0" vertical="top"/>
    </xf>
    <xf borderId="0" fillId="0" fontId="11" numFmtId="0" xfId="0" applyAlignment="1" applyFont="1">
      <alignment horizontal="center" readingOrder="0" vertical="top"/>
    </xf>
    <xf borderId="0" fillId="2" fontId="12" numFmtId="0" xfId="0" applyAlignment="1" applyFont="1">
      <alignment horizontal="right" readingOrder="0" vertical="top"/>
    </xf>
    <xf borderId="0" fillId="3" fontId="13" numFmtId="0" xfId="0" applyAlignment="1" applyFont="1">
      <alignment horizontal="center" readingOrder="0" shrinkToFit="0" vertical="center" wrapText="0"/>
    </xf>
    <xf borderId="10" fillId="0" fontId="14" numFmtId="0" xfId="0" applyAlignment="1" applyBorder="1" applyFont="1">
      <alignment horizontal="center" readingOrder="0" vertical="center"/>
    </xf>
    <xf borderId="10" fillId="8" fontId="13" numFmtId="0" xfId="0" applyAlignment="1" applyBorder="1" applyFill="1" applyFont="1">
      <alignment horizontal="center" readingOrder="0" shrinkToFit="0" vertical="center" wrapText="0"/>
    </xf>
    <xf borderId="10" fillId="8" fontId="13" numFmtId="0" xfId="0" applyAlignment="1" applyBorder="1" applyFont="1">
      <alignment shrinkToFit="0" vertical="center" wrapText="0"/>
    </xf>
    <xf borderId="10" fillId="8" fontId="13" numFmtId="164" xfId="0" applyAlignment="1" applyBorder="1" applyFont="1" applyNumberFormat="1">
      <alignment horizontal="center" shrinkToFit="0" vertical="center" wrapText="0"/>
    </xf>
    <xf borderId="11" fillId="9" fontId="15" numFmtId="0" xfId="0" applyAlignment="1" applyBorder="1" applyFill="1" applyFont="1">
      <alignment readingOrder="0" shrinkToFit="0" vertical="center" wrapText="0"/>
    </xf>
    <xf borderId="10" fillId="0" fontId="15" numFmtId="0" xfId="0" applyAlignment="1" applyBorder="1" applyFont="1">
      <alignment horizontal="center" readingOrder="0" shrinkToFit="0" vertical="center" wrapText="0"/>
    </xf>
    <xf borderId="10" fillId="0" fontId="15" numFmtId="0" xfId="0" applyAlignment="1" applyBorder="1" applyFont="1">
      <alignment shrinkToFit="0" vertical="center" wrapText="0"/>
    </xf>
    <xf borderId="10" fillId="0" fontId="15" numFmtId="164" xfId="0" applyAlignment="1" applyBorder="1" applyFont="1" applyNumberFormat="1">
      <alignment readingOrder="0" shrinkToFit="0" vertical="center" wrapText="0"/>
    </xf>
    <xf borderId="10" fillId="0" fontId="0" numFmtId="164" xfId="0" applyAlignment="1" applyBorder="1" applyFont="1" applyNumberFormat="1">
      <alignment shrinkToFit="0" vertical="center" wrapText="0"/>
    </xf>
    <xf borderId="10" fillId="8" fontId="13" numFmtId="164" xfId="0" applyAlignment="1" applyBorder="1" applyFont="1" applyNumberFormat="1">
      <alignment horizontal="center" readingOrder="0" shrinkToFit="0" vertical="center" wrapText="0"/>
    </xf>
    <xf borderId="10" fillId="0" fontId="15" numFmtId="0" xfId="0" applyAlignment="1" applyBorder="1" applyFont="1">
      <alignment readingOrder="0" shrinkToFit="0" vertical="center" wrapText="0"/>
    </xf>
    <xf borderId="10" fillId="0" fontId="16" numFmtId="0" xfId="0" applyAlignment="1" applyBorder="1" applyFont="1">
      <alignment horizontal="center" readingOrder="0" shrinkToFit="0" vertical="center" wrapText="0"/>
    </xf>
    <xf borderId="10" fillId="0" fontId="16" numFmtId="0" xfId="0" applyAlignment="1" applyBorder="1" applyFont="1">
      <alignment readingOrder="0" shrinkToFit="0" vertical="center" wrapText="0"/>
    </xf>
    <xf borderId="10" fillId="0" fontId="16" numFmtId="164" xfId="0" applyAlignment="1" applyBorder="1" applyFont="1" applyNumberFormat="1">
      <alignment readingOrder="0" shrinkToFit="0" vertical="center" wrapText="0"/>
    </xf>
    <xf borderId="10" fillId="0" fontId="16" numFmtId="164" xfId="0" applyAlignment="1" applyBorder="1" applyFont="1" applyNumberFormat="1">
      <alignment shrinkToFit="0" vertical="center" wrapText="0"/>
    </xf>
    <xf borderId="10" fillId="0" fontId="17" numFmtId="164" xfId="0" applyAlignment="1" applyBorder="1" applyFont="1" applyNumberFormat="1">
      <alignment shrinkToFit="0" vertical="center" wrapText="0"/>
    </xf>
    <xf borderId="10" fillId="7" fontId="18" numFmtId="164" xfId="0" applyAlignment="1" applyBorder="1" applyFont="1" applyNumberFormat="1">
      <alignment horizontal="center" readingOrder="0" shrinkToFit="0" vertical="center" wrapText="0"/>
    </xf>
    <xf borderId="0" fillId="0" fontId="18" numFmtId="0" xfId="0" applyAlignment="1" applyFont="1">
      <alignment shrinkToFit="0" vertical="center" wrapText="0"/>
    </xf>
    <xf borderId="10" fillId="0" fontId="19" numFmtId="164" xfId="0" applyAlignment="1" applyBorder="1" applyFont="1" applyNumberFormat="1">
      <alignment readingOrder="0" shrinkToFit="0" vertical="center" wrapText="0"/>
    </xf>
    <xf borderId="0" fillId="6" fontId="20" numFmtId="0" xfId="0" applyAlignment="1" applyFont="1">
      <alignment horizontal="left" readingOrder="0" shrinkToFit="0" vertical="center" wrapText="0"/>
    </xf>
    <xf borderId="0" fillId="0" fontId="16" numFmtId="0" xfId="0" applyAlignment="1" applyFont="1">
      <alignment shrinkToFit="0" vertical="center" wrapText="0"/>
    </xf>
    <xf borderId="10" fillId="0" fontId="21" numFmtId="164" xfId="0" applyAlignment="1" applyBorder="1" applyFont="1" applyNumberFormat="1">
      <alignment readingOrder="0" shrinkToFit="0" vertical="center" wrapText="0"/>
    </xf>
    <xf borderId="10" fillId="0" fontId="21" numFmtId="164" xfId="0" applyAlignment="1" applyBorder="1" applyFont="1" applyNumberFormat="1">
      <alignment shrinkToFit="0" vertical="center" wrapText="0"/>
    </xf>
    <xf borderId="0" fillId="0" fontId="22" numFmtId="0" xfId="0" applyAlignment="1" applyFont="1">
      <alignment readingOrder="0" shrinkToFit="0" vertical="center" wrapText="0"/>
    </xf>
    <xf borderId="0" fillId="0" fontId="16" numFmtId="0" xfId="0" applyAlignment="1" applyFont="1">
      <alignment readingOrder="0" shrinkToFit="0" vertical="center" wrapText="0"/>
    </xf>
    <xf borderId="10" fillId="0" fontId="16" numFmtId="164" xfId="0" applyAlignment="1" applyBorder="1" applyFont="1" applyNumberFormat="1">
      <alignment readingOrder="0" vertical="center"/>
    </xf>
    <xf borderId="12" fillId="7" fontId="18" numFmtId="164" xfId="0" applyAlignment="1" applyBorder="1" applyFont="1" applyNumberFormat="1">
      <alignment horizontal="center" readingOrder="0" shrinkToFit="0" vertical="center" wrapText="0"/>
    </xf>
    <xf borderId="1" fillId="0" fontId="17" numFmtId="164" xfId="0" applyAlignment="1" applyBorder="1" applyFont="1" applyNumberFormat="1">
      <alignment shrinkToFit="0" vertical="center" wrapText="0"/>
    </xf>
    <xf borderId="13" fillId="10" fontId="18" numFmtId="164" xfId="0" applyAlignment="1" applyBorder="1" applyFill="1" applyFont="1" applyNumberFormat="1">
      <alignment horizontal="center" readingOrder="0" shrinkToFit="0" vertical="center" wrapText="0"/>
    </xf>
    <xf borderId="0" fillId="0" fontId="21" numFmtId="0" xfId="0" applyAlignment="1" applyFont="1">
      <alignment readingOrder="0" shrinkToFit="0" vertical="center" wrapText="0"/>
    </xf>
    <xf borderId="14" fillId="0" fontId="23" numFmtId="0" xfId="0" applyAlignment="1" applyBorder="1" applyFont="1">
      <alignment horizontal="center" readingOrder="0" shrinkToFit="0" vertical="center" wrapText="0"/>
    </xf>
    <xf borderId="14" fillId="0" fontId="23" numFmtId="0" xfId="0" applyAlignment="1" applyBorder="1" applyFont="1">
      <alignment readingOrder="0" shrinkToFit="0" vertical="center" wrapText="0"/>
    </xf>
    <xf borderId="14" fillId="0" fontId="23" numFmtId="164" xfId="0" applyAlignment="1" applyBorder="1" applyFont="1" applyNumberFormat="1">
      <alignment readingOrder="0" shrinkToFit="0" vertical="center" wrapText="0"/>
    </xf>
    <xf borderId="14" fillId="0" fontId="23" numFmtId="164" xfId="0" applyAlignment="1" applyBorder="1" applyFont="1" applyNumberFormat="1">
      <alignment shrinkToFit="0" vertical="center" wrapText="0"/>
    </xf>
    <xf borderId="15" fillId="0" fontId="23" numFmtId="164" xfId="0" applyAlignment="1" applyBorder="1" applyFont="1" applyNumberFormat="1">
      <alignment shrinkToFit="0" vertical="center" wrapText="0"/>
    </xf>
    <xf borderId="14" fillId="11" fontId="24" numFmtId="164" xfId="0" applyAlignment="1" applyBorder="1" applyFill="1" applyFont="1" applyNumberFormat="1">
      <alignment horizontal="center" readingOrder="0" shrinkToFit="0" vertical="center" wrapText="0"/>
    </xf>
    <xf borderId="0" fillId="0" fontId="23" numFmtId="0" xfId="0" applyAlignment="1" applyFont="1">
      <alignment readingOrder="0" shrinkToFit="0" vertical="center" wrapText="0"/>
    </xf>
    <xf borderId="0" fillId="0" fontId="25" numFmtId="0" xfId="0" applyAlignment="1" applyFont="1">
      <alignment horizontal="center" shrinkToFit="0" vertical="center" wrapText="0"/>
    </xf>
    <xf borderId="0" fillId="0" fontId="25" numFmtId="0" xfId="0" applyAlignment="1" applyFont="1">
      <alignment shrinkToFit="0" vertical="center" wrapText="0"/>
    </xf>
    <xf borderId="0" fillId="0" fontId="25" numFmtId="164" xfId="0" applyAlignment="1" applyFont="1" applyNumberFormat="1">
      <alignment horizontal="center" shrinkToFit="0" vertical="center" wrapText="0"/>
    </xf>
    <xf borderId="0" fillId="0" fontId="26" numFmtId="164" xfId="0" applyAlignment="1" applyFont="1" applyNumberFormat="1">
      <alignment horizontal="right" shrinkToFit="0" vertical="center" wrapText="0"/>
    </xf>
    <xf borderId="0" fillId="0" fontId="26" numFmtId="164" xfId="0" applyAlignment="1" applyFont="1" applyNumberFormat="1">
      <alignment shrinkToFit="0" vertical="center" wrapText="0"/>
    </xf>
    <xf borderId="0" fillId="0" fontId="25" numFmtId="164" xfId="0" applyAlignment="1" applyFont="1" applyNumberFormat="1">
      <alignment horizontal="right" shrinkToFit="0" vertical="center" wrapText="0"/>
    </xf>
    <xf borderId="0" fillId="0" fontId="27" numFmtId="0" xfId="0" applyAlignment="1" applyFont="1">
      <alignment shrinkToFit="0" vertical="center" wrapText="0"/>
    </xf>
    <xf borderId="0" fillId="0" fontId="18" numFmtId="0" xfId="0" applyAlignment="1" applyFont="1">
      <alignment horizontal="center" shrinkToFit="0" vertical="center" wrapText="0"/>
    </xf>
    <xf borderId="0" fillId="0" fontId="28" numFmtId="0" xfId="0" applyAlignment="1" applyFont="1">
      <alignment horizontal="left" readingOrder="0" shrinkToFit="0" vertical="center" wrapText="0"/>
    </xf>
    <xf borderId="0" fillId="0" fontId="29" numFmtId="0" xfId="0" applyAlignment="1" applyFont="1">
      <alignment horizontal="center" shrinkToFit="0" vertical="center" wrapText="0"/>
    </xf>
    <xf borderId="0" fillId="0" fontId="30" numFmtId="0" xfId="0" applyAlignment="1" applyFont="1">
      <alignment horizontal="center" shrinkToFit="0" vertical="center" wrapText="0"/>
    </xf>
    <xf borderId="0" fillId="0" fontId="28" numFmtId="164" xfId="0" applyAlignment="1" applyFont="1" applyNumberFormat="1">
      <alignment horizontal="right" shrinkToFit="0" vertical="center" wrapText="0"/>
    </xf>
    <xf borderId="0" fillId="0" fontId="1" numFmtId="0" xfId="0" applyAlignment="1" applyFont="1">
      <alignment shrinkToFit="0" wrapText="0"/>
    </xf>
    <xf borderId="0" fillId="0" fontId="16" numFmtId="0" xfId="0" applyAlignment="1" applyFont="1">
      <alignment horizontal="center" readingOrder="0" shrinkToFit="0" vertical="center" wrapText="0"/>
    </xf>
    <xf borderId="10" fillId="0" fontId="16" numFmtId="0" xfId="0" applyAlignment="1" applyBorder="1" applyFont="1">
      <alignment horizontal="right" readingOrder="0" shrinkToFit="0" vertical="center" wrapText="0"/>
    </xf>
    <xf borderId="10" fillId="0" fontId="17" numFmtId="164" xfId="0" applyAlignment="1" applyBorder="1" applyFont="1" applyNumberFormat="1">
      <alignment horizontal="right" shrinkToFit="0" vertical="center" wrapText="0"/>
    </xf>
    <xf borderId="16" fillId="12" fontId="18" numFmtId="164" xfId="0" applyAlignment="1" applyBorder="1" applyFill="1" applyFont="1" applyNumberFormat="1">
      <alignment horizontal="left" readingOrder="0" shrinkToFit="0" vertical="center" wrapText="1"/>
    </xf>
    <xf borderId="17" fillId="0" fontId="1" numFmtId="0" xfId="0" applyBorder="1" applyFont="1"/>
    <xf borderId="0" fillId="0" fontId="19" numFmtId="0" xfId="0" applyAlignment="1" applyFont="1">
      <alignment shrinkToFit="0" vertical="center" wrapText="0"/>
    </xf>
    <xf borderId="18" fillId="0" fontId="1" numFmtId="0" xfId="0" applyBorder="1" applyFont="1"/>
    <xf borderId="10" fillId="13" fontId="20" numFmtId="9" xfId="0" applyAlignment="1" applyBorder="1" applyFill="1" applyFont="1" applyNumberFormat="1">
      <alignment horizontal="right" readingOrder="0" shrinkToFit="0" vertical="center" wrapText="0"/>
    </xf>
    <xf borderId="0" fillId="0" fontId="16" numFmtId="0" xfId="0" applyAlignment="1" applyFont="1">
      <alignment horizontal="center" shrinkToFit="0" vertical="center" wrapText="0"/>
    </xf>
    <xf borderId="19" fillId="0" fontId="16" numFmtId="0" xfId="0" applyAlignment="1" applyBorder="1" applyFont="1">
      <alignment horizontal="right" readingOrder="0" shrinkToFit="0" vertical="center" wrapText="0"/>
    </xf>
    <xf borderId="19" fillId="0" fontId="16" numFmtId="164" xfId="0" applyAlignment="1" applyBorder="1" applyFont="1" applyNumberFormat="1">
      <alignment horizontal="right" readingOrder="0" shrinkToFit="0" vertical="center" wrapText="0"/>
    </xf>
    <xf borderId="19" fillId="7" fontId="16" numFmtId="164" xfId="0" applyAlignment="1" applyBorder="1" applyFont="1" applyNumberFormat="1">
      <alignment horizontal="right" readingOrder="0" shrinkToFit="0" vertical="center" wrapText="0"/>
    </xf>
    <xf borderId="20" fillId="0" fontId="1" numFmtId="0" xfId="0" applyBorder="1" applyFont="1"/>
    <xf borderId="21" fillId="0" fontId="1" numFmtId="0" xfId="0" applyBorder="1" applyFont="1"/>
    <xf borderId="11" fillId="0" fontId="16" numFmtId="0" xfId="0" applyAlignment="1" applyBorder="1" applyFont="1">
      <alignment horizontal="right" readingOrder="0" shrinkToFit="0" vertical="center" wrapText="0"/>
    </xf>
    <xf borderId="11" fillId="0" fontId="31" numFmtId="164" xfId="0" applyAlignment="1" applyBorder="1" applyFont="1" applyNumberFormat="1">
      <alignment horizontal="right" shrinkToFit="0" vertical="center" wrapText="0"/>
    </xf>
    <xf borderId="11" fillId="0" fontId="23" numFmtId="164" xfId="0" applyAlignment="1" applyBorder="1" applyFont="1" applyNumberFormat="1">
      <alignment horizontal="right" vertical="center"/>
    </xf>
    <xf borderId="0" fillId="0" fontId="16" numFmtId="164" xfId="0" applyAlignment="1" applyFont="1" applyNumberFormat="1">
      <alignment horizontal="left" shrinkToFit="0" vertical="center" wrapText="0"/>
    </xf>
    <xf borderId="0" fillId="0" fontId="1" numFmtId="0" xfId="0" applyAlignment="1" applyFont="1">
      <alignment horizontal="left" shrinkToFit="0" wrapText="0"/>
    </xf>
    <xf borderId="1" fillId="0" fontId="16" numFmtId="0" xfId="0" applyAlignment="1" applyBorder="1" applyFont="1">
      <alignment horizontal="right" shrinkToFit="0" vertical="center" wrapText="0"/>
    </xf>
    <xf borderId="10" fillId="0" fontId="16" numFmtId="164" xfId="0" applyAlignment="1" applyBorder="1" applyFont="1" applyNumberFormat="1">
      <alignment horizontal="right" readingOrder="0" shrinkToFit="0" vertical="center" wrapText="0"/>
    </xf>
    <xf borderId="3" fillId="7" fontId="16" numFmtId="164" xfId="0" applyAlignment="1" applyBorder="1" applyFont="1" applyNumberFormat="1">
      <alignment horizontal="right" readingOrder="0" shrinkToFit="0" vertical="center" wrapText="0"/>
    </xf>
    <xf borderId="1" fillId="12" fontId="18" numFmtId="164" xfId="0" applyAlignment="1" applyBorder="1" applyFont="1" applyNumberFormat="1">
      <alignment horizontal="left" readingOrder="0" shrinkToFit="0" vertical="center" wrapText="0"/>
    </xf>
    <xf borderId="3" fillId="12" fontId="18" numFmtId="164" xfId="0" applyAlignment="1" applyBorder="1" applyFont="1" applyNumberFormat="1">
      <alignment horizontal="left" shrinkToFit="0" vertical="center" wrapText="0"/>
    </xf>
    <xf borderId="10" fillId="0" fontId="16" numFmtId="165" xfId="0" applyAlignment="1" applyBorder="1" applyFont="1" applyNumberFormat="1">
      <alignment horizontal="right" shrinkToFit="0" vertical="center" wrapText="0"/>
    </xf>
    <xf borderId="3" fillId="7" fontId="16" numFmtId="165" xfId="0" applyAlignment="1" applyBorder="1" applyFont="1" applyNumberFormat="1">
      <alignment horizontal="right" readingOrder="0" shrinkToFit="0" vertical="center" wrapText="0"/>
    </xf>
    <xf borderId="22" fillId="0" fontId="16" numFmtId="0" xfId="0" applyAlignment="1" applyBorder="1" applyFont="1">
      <alignment horizontal="right" readingOrder="0" shrinkToFit="0" vertical="center" wrapText="0"/>
    </xf>
    <xf borderId="23" fillId="0" fontId="16" numFmtId="166" xfId="0" applyAlignment="1" applyBorder="1" applyFont="1" applyNumberFormat="1">
      <alignment horizontal="right" readingOrder="0" shrinkToFit="0" vertical="center" wrapText="0"/>
    </xf>
    <xf borderId="24" fillId="7" fontId="16" numFmtId="166" xfId="0" applyAlignment="1" applyBorder="1" applyFont="1" applyNumberFormat="1">
      <alignment horizontal="right" readingOrder="0" shrinkToFit="0" vertical="center" wrapText="0"/>
    </xf>
    <xf borderId="24" fillId="0" fontId="17" numFmtId="164" xfId="0" applyAlignment="1" applyBorder="1" applyFont="1" applyNumberFormat="1">
      <alignment shrinkToFit="0" vertical="center" wrapText="0"/>
    </xf>
    <xf borderId="0" fillId="0" fontId="16" numFmtId="164" xfId="0" applyAlignment="1" applyFont="1" applyNumberFormat="1">
      <alignment shrinkToFit="0" vertical="center" wrapText="0"/>
    </xf>
    <xf borderId="0" fillId="0" fontId="32" numFmtId="0" xfId="0" applyAlignment="1" applyFont="1">
      <alignment horizontal="center" shrinkToFit="0" vertical="center" wrapText="0"/>
    </xf>
    <xf borderId="0" fillId="0" fontId="32" numFmtId="0" xfId="0" applyAlignment="1" applyFont="1">
      <alignment horizontal="right" shrinkToFit="0" vertical="center" wrapText="0"/>
    </xf>
    <xf borderId="0" fillId="0" fontId="32" numFmtId="164" xfId="0" applyAlignment="1" applyFont="1" applyNumberFormat="1">
      <alignment shrinkToFit="0" vertical="center" wrapText="0"/>
    </xf>
    <xf borderId="0" fillId="0" fontId="32" numFmtId="164" xfId="0" applyAlignment="1" applyFont="1" applyNumberFormat="1">
      <alignment horizontal="left" shrinkToFit="0" vertical="center" wrapText="0"/>
    </xf>
    <xf borderId="0" fillId="0" fontId="0" numFmtId="164" xfId="0" applyAlignment="1" applyFont="1" applyNumberForma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0" numFmtId="164" xfId="0" applyAlignment="1" applyFont="1" applyNumberFormat="1">
      <alignment horizontal="left" shrinkToFit="0" vertical="center" wrapText="0"/>
    </xf>
    <xf borderId="0" fillId="0" fontId="32" numFmtId="0" xfId="0" applyAlignment="1" applyFont="1">
      <alignment shrinkToFit="0" vertical="center" wrapText="0"/>
    </xf>
    <xf borderId="0" fillId="0" fontId="32" numFmtId="0" xfId="0" applyAlignment="1" applyFont="1">
      <alignment horizontal="left" shrinkToFit="0" vertical="center" wrapText="0"/>
    </xf>
    <xf borderId="0" fillId="0" fontId="19" numFmtId="0" xfId="0" applyAlignment="1" applyFont="1">
      <alignment horizontal="center" shrinkToFit="0" vertical="center" wrapText="0"/>
    </xf>
    <xf borderId="1" fillId="0" fontId="16" numFmtId="164" xfId="0" applyAlignment="1" applyBorder="1" applyFont="1" applyNumberFormat="1">
      <alignment horizontal="left" shrinkToFit="0" vertical="center" wrapText="0"/>
    </xf>
    <xf borderId="2" fillId="0" fontId="16" numFmtId="164" xfId="0" applyAlignment="1" applyBorder="1" applyFont="1" applyNumberFormat="1">
      <alignment horizontal="left" shrinkToFit="0" vertical="center" wrapText="0"/>
    </xf>
    <xf borderId="1" fillId="12" fontId="18" numFmtId="164" xfId="0" applyAlignment="1" applyBorder="1" applyFont="1" applyNumberFormat="1">
      <alignment horizontal="left" shrinkToFit="0" vertical="center" wrapText="0"/>
    </xf>
    <xf borderId="1" fillId="7" fontId="16" numFmtId="10" xfId="0" applyAlignment="1" applyBorder="1" applyFont="1" applyNumberFormat="1">
      <alignment readingOrder="0" shrinkToFit="0" vertical="center" wrapText="0"/>
    </xf>
    <xf borderId="1" fillId="12" fontId="18" numFmtId="0" xfId="0" applyAlignment="1" applyBorder="1" applyFont="1">
      <alignment horizontal="left" readingOrder="0" shrinkToFit="0" vertical="center" wrapText="0"/>
    </xf>
    <xf borderId="3" fillId="12" fontId="18" numFmtId="0" xfId="0" applyAlignment="1" applyBorder="1" applyFont="1">
      <alignment horizontal="left" readingOrder="0" shrinkToFit="0" vertical="center" wrapText="0"/>
    </xf>
    <xf borderId="15" fillId="0" fontId="16" numFmtId="164" xfId="0" applyAlignment="1" applyBorder="1" applyFont="1" applyNumberFormat="1">
      <alignment horizontal="left" shrinkToFit="0" vertical="center" wrapText="0"/>
    </xf>
    <xf borderId="25" fillId="0" fontId="16" numFmtId="164" xfId="0" applyAlignment="1" applyBorder="1" applyFont="1" applyNumberFormat="1">
      <alignment horizontal="left" shrinkToFit="0" vertical="center" wrapText="0"/>
    </xf>
    <xf borderId="15" fillId="7" fontId="16" numFmtId="0" xfId="0" applyAlignment="1" applyBorder="1" applyFont="1">
      <alignment readingOrder="0" shrinkToFit="0" vertical="center" wrapText="0"/>
    </xf>
    <xf borderId="1" fillId="12" fontId="18" numFmtId="0" xfId="0" applyAlignment="1" applyBorder="1" applyFont="1">
      <alignment horizontal="left" shrinkToFit="0" vertical="center" wrapText="0"/>
    </xf>
    <xf borderId="3" fillId="12" fontId="18" numFmtId="0" xfId="0" applyAlignment="1" applyBorder="1" applyFont="1">
      <alignment horizontal="left" shrinkToFit="0" vertical="center" wrapText="0"/>
    </xf>
    <xf borderId="0" fillId="0" fontId="32" numFmtId="167" xfId="0" applyAlignment="1" applyFont="1" applyNumberFormat="1">
      <alignment horizontal="right" shrinkToFit="0" vertical="center" wrapText="0"/>
    </xf>
    <xf borderId="0" fillId="0" fontId="33" numFmtId="0" xfId="0" applyAlignment="1" applyFont="1">
      <alignment readingOrder="0" vertical="center"/>
    </xf>
    <xf borderId="10" fillId="9" fontId="15" numFmtId="0" xfId="0" applyAlignment="1" applyBorder="1" applyFont="1">
      <alignment readingOrder="0" shrinkToFit="0" vertical="center" wrapText="0"/>
    </xf>
    <xf borderId="10" fillId="14" fontId="34" numFmtId="0" xfId="0" applyAlignment="1" applyBorder="1" applyFill="1" applyFont="1">
      <alignment readingOrder="0"/>
    </xf>
    <xf borderId="10" fillId="11" fontId="35" numFmtId="0" xfId="0" applyAlignment="1" applyBorder="1" applyFont="1">
      <alignment readingOrder="0"/>
    </xf>
    <xf borderId="10" fillId="11" fontId="35" numFmtId="0" xfId="0" applyBorder="1" applyFont="1"/>
    <xf borderId="10" fillId="11" fontId="35" numFmtId="0" xfId="0" applyAlignment="1" applyBorder="1" applyFont="1">
      <alignment readingOrder="0" vertical="center"/>
    </xf>
    <xf borderId="0" fillId="15" fontId="13" numFmtId="0" xfId="0" applyAlignment="1" applyFill="1" applyFont="1">
      <alignment horizontal="center" readingOrder="0" shrinkToFit="0" vertical="center" wrapText="0"/>
    </xf>
    <xf borderId="12" fillId="15" fontId="13" numFmtId="0" xfId="0" applyAlignment="1" applyBorder="1" applyFont="1">
      <alignment shrinkToFit="0" vertical="center" wrapText="0"/>
    </xf>
    <xf borderId="12" fillId="15" fontId="13" numFmtId="164" xfId="0" applyAlignment="1" applyBorder="1" applyFont="1" applyNumberFormat="1">
      <alignment horizontal="center" shrinkToFit="0" vertical="center" wrapText="0"/>
    </xf>
    <xf borderId="26" fillId="15" fontId="13" numFmtId="164" xfId="0" applyAlignment="1" applyBorder="1" applyFont="1" applyNumberFormat="1">
      <alignment horizontal="center" shrinkToFit="0" vertical="center" wrapText="0"/>
    </xf>
    <xf borderId="3" fillId="0" fontId="15" numFmtId="0" xfId="0" applyAlignment="1" applyBorder="1" applyFont="1">
      <alignment shrinkToFit="0" vertical="center" wrapText="0"/>
    </xf>
    <xf borderId="10" fillId="15" fontId="13" numFmtId="164" xfId="0" applyAlignment="1" applyBorder="1" applyFont="1" applyNumberFormat="1">
      <alignment horizontal="center" readingOrder="0" shrinkToFit="0" vertical="center" wrapText="0"/>
    </xf>
    <xf borderId="17" fillId="0" fontId="15" numFmtId="0" xfId="0" applyAlignment="1" applyBorder="1" applyFont="1">
      <alignment readingOrder="0" shrinkToFit="0" vertical="center" wrapText="0"/>
    </xf>
    <xf borderId="10" fillId="0" fontId="19" numFmtId="0" xfId="0" applyAlignment="1" applyBorder="1" applyFont="1">
      <alignment horizontal="center" readingOrder="0" shrinkToFit="0" vertical="center" wrapText="0"/>
    </xf>
    <xf borderId="3" fillId="0" fontId="19" numFmtId="0" xfId="0" applyAlignment="1" applyBorder="1" applyFont="1">
      <alignment readingOrder="0" shrinkToFit="0" vertical="center" wrapText="0"/>
    </xf>
    <xf borderId="0" fillId="0" fontId="19" numFmtId="0" xfId="0" applyAlignment="1" applyFont="1">
      <alignment shrinkToFit="0" vertical="center" wrapText="0"/>
    </xf>
    <xf borderId="3" fillId="0" fontId="16" numFmtId="0" xfId="0" applyAlignment="1" applyBorder="1" applyFont="1">
      <alignment readingOrder="0" shrinkToFit="0" vertical="center" wrapText="0"/>
    </xf>
    <xf borderId="0" fillId="0" fontId="19" numFmtId="0" xfId="0" applyAlignment="1" applyFont="1">
      <alignment readingOrder="0" shrinkToFit="0" vertical="center" wrapText="0"/>
    </xf>
    <xf borderId="27" fillId="10" fontId="18" numFmtId="164" xfId="0" applyAlignment="1" applyBorder="1" applyFont="1" applyNumberFormat="1">
      <alignment horizontal="center" readingOrder="0" vertical="center"/>
    </xf>
    <xf borderId="28" fillId="0" fontId="36" numFmtId="0" xfId="0" applyAlignment="1" applyBorder="1" applyFont="1">
      <alignment readingOrder="0" shrinkToFit="0" vertical="center" wrapText="0"/>
    </xf>
    <xf borderId="22" fillId="11" fontId="24" numFmtId="164" xfId="0" applyAlignment="1" applyBorder="1" applyFont="1" applyNumberFormat="1">
      <alignment horizontal="center" readingOrder="0" shrinkToFit="0" vertical="center" wrapText="0"/>
    </xf>
    <xf borderId="0" fillId="0" fontId="25" numFmtId="0" xfId="0" applyAlignment="1" applyFont="1">
      <alignment horizontal="left" shrinkToFit="0" vertical="center" wrapText="0"/>
    </xf>
    <xf borderId="0" fillId="0" fontId="37" numFmtId="0" xfId="0" applyAlignment="1" applyFont="1">
      <alignment shrinkToFit="0" vertical="center" wrapText="0"/>
    </xf>
    <xf borderId="0" fillId="0" fontId="25" numFmtId="0" xfId="0" applyAlignment="1" applyFont="1">
      <alignment horizontal="center" readingOrder="0" shrinkToFit="0" vertical="center" wrapText="0"/>
    </xf>
    <xf borderId="10" fillId="2" fontId="38" numFmtId="0" xfId="0" applyAlignment="1" applyBorder="1" applyFont="1">
      <alignment horizontal="center" readingOrder="0" shrinkToFit="0" vertical="center" wrapText="0"/>
    </xf>
    <xf borderId="3" fillId="2" fontId="38" numFmtId="0" xfId="0" applyAlignment="1" applyBorder="1" applyFont="1">
      <alignment readingOrder="0" shrinkToFit="0" vertical="center" wrapText="0"/>
    </xf>
    <xf borderId="10" fillId="2" fontId="38" numFmtId="164" xfId="0" applyAlignment="1" applyBorder="1" applyFont="1" applyNumberFormat="1">
      <alignment readingOrder="0" shrinkToFit="0" vertical="center" wrapText="0"/>
    </xf>
    <xf borderId="10" fillId="2" fontId="39" numFmtId="164" xfId="0" applyAlignment="1" applyBorder="1" applyFont="1" applyNumberFormat="1">
      <alignment horizontal="center" readingOrder="0" shrinkToFit="0" vertical="center" wrapText="0"/>
    </xf>
    <xf borderId="10" fillId="7" fontId="40" numFmtId="164" xfId="0" applyAlignment="1" applyBorder="1" applyFont="1" applyNumberFormat="1">
      <alignment horizontal="center" readingOrder="0" shrinkToFit="0" vertical="center" wrapText="0"/>
    </xf>
    <xf borderId="10" fillId="0" fontId="19" numFmtId="164" xfId="0" applyAlignment="1" applyBorder="1" applyFont="1" applyNumberFormat="1">
      <alignment shrinkToFit="0" vertical="center" wrapText="0"/>
    </xf>
    <xf borderId="0" fillId="0" fontId="41" numFmtId="0" xfId="0" applyAlignment="1" applyFont="1">
      <alignment readingOrder="0" shrinkToFit="0" vertical="center" wrapText="0"/>
    </xf>
    <xf borderId="1" fillId="0" fontId="16" numFmtId="0" xfId="0" applyAlignment="1" applyBorder="1" applyFont="1">
      <alignment horizontal="right" readingOrder="0" shrinkToFit="0" vertical="center" wrapText="0"/>
    </xf>
    <xf borderId="24" fillId="7" fontId="16" numFmtId="0" xfId="0" applyAlignment="1" applyBorder="1" applyFont="1">
      <alignment horizontal="right" readingOrder="0" shrinkToFit="0" vertical="center" wrapText="0"/>
    </xf>
    <xf borderId="3" fillId="0" fontId="15" numFmtId="0" xfId="0" applyAlignment="1" applyBorder="1" applyFont="1">
      <alignment readingOrder="0" shrinkToFit="0" vertical="center" wrapText="0"/>
    </xf>
    <xf borderId="3" fillId="0" fontId="42" numFmtId="0" xfId="0" applyAlignment="1" applyBorder="1" applyFont="1">
      <alignment readingOrder="0" shrinkToFit="0" vertical="center" wrapText="0"/>
    </xf>
    <xf borderId="10" fillId="5" fontId="42" numFmtId="164" xfId="0" applyAlignment="1" applyBorder="1" applyFont="1" applyNumberFormat="1">
      <alignment readingOrder="0" shrinkToFit="0" vertical="center" wrapText="0"/>
    </xf>
    <xf borderId="10" fillId="16" fontId="43" numFmtId="164" xfId="0" applyAlignment="1" applyBorder="1" applyFill="1" applyFont="1" applyNumberFormat="1">
      <alignment horizontal="center" readingOrder="0" shrinkToFit="0" vertical="center" wrapText="0"/>
    </xf>
    <xf borderId="0" fillId="16" fontId="44" numFmtId="0" xfId="0" applyAlignment="1" applyFont="1">
      <alignment readingOrder="0" shrinkToFit="0" vertical="center" wrapText="0"/>
    </xf>
    <xf borderId="0" fillId="5" fontId="19" numFmtId="0" xfId="0" applyAlignment="1" applyFont="1">
      <alignment readingOrder="0" shrinkToFit="0" vertical="center" wrapText="0"/>
    </xf>
    <xf borderId="0" fillId="5" fontId="19" numFmtId="0" xfId="0" applyAlignment="1" applyFont="1">
      <alignment shrinkToFit="0" vertical="center" wrapText="0"/>
    </xf>
    <xf borderId="10" fillId="17" fontId="45" numFmtId="164" xfId="0" applyAlignment="1" applyBorder="1" applyFill="1" applyFont="1" applyNumberFormat="1">
      <alignment readingOrder="0" shrinkToFit="0" vertical="center" wrapText="0"/>
    </xf>
    <xf borderId="10" fillId="18" fontId="46" numFmtId="164" xfId="0" applyAlignment="1" applyBorder="1" applyFill="1" applyFont="1" applyNumberFormat="1">
      <alignment horizontal="center" readingOrder="0" shrinkToFit="0" vertical="center" wrapText="0"/>
    </xf>
    <xf borderId="3" fillId="0" fontId="47" numFmtId="0" xfId="0" applyAlignment="1" applyBorder="1" applyFont="1">
      <alignment readingOrder="0" shrinkToFit="0" vertical="center" wrapText="0"/>
    </xf>
    <xf borderId="10" fillId="18" fontId="48" numFmtId="0" xfId="0" applyAlignment="1" applyBorder="1" applyFont="1">
      <alignment readingOrder="0"/>
    </xf>
    <xf borderId="10" fillId="19" fontId="49" numFmtId="0" xfId="0" applyAlignment="1" applyBorder="1" applyFill="1" applyFont="1">
      <alignment horizontal="left" readingOrder="0" vertical="center"/>
    </xf>
    <xf borderId="10" fillId="20" fontId="50" numFmtId="164" xfId="0" applyAlignment="1" applyBorder="1" applyFill="1" applyFont="1" applyNumberFormat="1">
      <alignment readingOrder="0" shrinkToFit="0" vertical="center" wrapText="0"/>
    </xf>
    <xf borderId="10" fillId="21" fontId="43" numFmtId="164" xfId="0" applyAlignment="1" applyBorder="1" applyFill="1" applyFont="1" applyNumberFormat="1">
      <alignment horizontal="center" readingOrder="0" shrinkToFit="0" vertical="center" wrapText="0"/>
    </xf>
    <xf borderId="0" fillId="21" fontId="51" numFmtId="0" xfId="0" applyAlignment="1" applyFont="1">
      <alignment readingOrder="0" vertical="center"/>
    </xf>
    <xf borderId="29" fillId="20" fontId="52" numFmtId="0" xfId="0" applyAlignment="1" applyBorder="1" applyFont="1">
      <alignment readingOrder="0" shrinkToFit="0" vertical="center" wrapText="0"/>
    </xf>
    <xf borderId="2" fillId="12" fontId="18" numFmtId="164" xfId="0" applyAlignment="1" applyBorder="1" applyFont="1" applyNumberFormat="1">
      <alignment horizontal="left" shrinkToFit="0" vertical="center" wrapText="0"/>
    </xf>
    <xf borderId="29" fillId="20" fontId="0" numFmtId="0" xfId="0" applyAlignment="1" applyBorder="1" applyFont="1">
      <alignment horizontal="left" readingOrder="0" vertical="center"/>
    </xf>
    <xf borderId="10" fillId="22" fontId="43" numFmtId="164" xfId="0" applyAlignment="1" applyBorder="1" applyFill="1" applyFont="1" applyNumberFormat="1">
      <alignment horizontal="center" readingOrder="0" shrinkToFit="0" vertical="center" wrapText="0"/>
    </xf>
    <xf borderId="0" fillId="23" fontId="13" numFmtId="0" xfId="0" applyAlignment="1" applyFill="1" applyFont="1">
      <alignment readingOrder="0" vertical="center"/>
    </xf>
    <xf borderId="29" fillId="10" fontId="52" numFmtId="0" xfId="0" applyAlignment="1" applyBorder="1" applyFont="1">
      <alignment readingOrder="0" shrinkToFit="0" vertical="center" wrapText="0"/>
    </xf>
    <xf borderId="29" fillId="10" fontId="0" numFmtId="0" xfId="0" applyAlignment="1" applyBorder="1" applyFont="1">
      <alignment horizontal="left" readingOrder="0" vertical="center"/>
    </xf>
    <xf borderId="0" fillId="3" fontId="13" numFmtId="0" xfId="0" applyAlignment="1" applyFont="1">
      <alignment horizontal="center" readingOrder="0" vertical="center"/>
    </xf>
    <xf borderId="10" fillId="24" fontId="13" numFmtId="0" xfId="0" applyAlignment="1" applyBorder="1" applyFill="1" applyFont="1">
      <alignment horizontal="center" readingOrder="0" vertical="center"/>
    </xf>
    <xf borderId="10" fillId="24" fontId="13" numFmtId="0" xfId="0" applyAlignment="1" applyBorder="1" applyFont="1">
      <alignment vertical="center"/>
    </xf>
    <xf borderId="10" fillId="24" fontId="13" numFmtId="164" xfId="0" applyAlignment="1" applyBorder="1" applyFont="1" applyNumberFormat="1">
      <alignment horizontal="center" vertical="center"/>
    </xf>
    <xf borderId="10" fillId="9" fontId="53" numFmtId="0" xfId="0" applyAlignment="1" applyBorder="1" applyFont="1">
      <alignment readingOrder="0" shrinkToFit="0" vertical="center" wrapText="1"/>
    </xf>
    <xf borderId="10" fillId="0" fontId="15" numFmtId="0" xfId="0" applyAlignment="1" applyBorder="1" applyFont="1">
      <alignment horizontal="center" readingOrder="0" vertical="center"/>
    </xf>
    <xf borderId="10" fillId="0" fontId="15" numFmtId="0" xfId="0" applyAlignment="1" applyBorder="1" applyFont="1">
      <alignment readingOrder="0" vertical="center"/>
    </xf>
    <xf borderId="10" fillId="0" fontId="15" numFmtId="164" xfId="0" applyAlignment="1" applyBorder="1" applyFont="1" applyNumberFormat="1">
      <alignment readingOrder="0" vertical="center"/>
    </xf>
    <xf borderId="10" fillId="0" fontId="15" numFmtId="164" xfId="0" applyAlignment="1" applyBorder="1" applyFont="1" applyNumberFormat="1">
      <alignment vertical="center"/>
    </xf>
    <xf borderId="10" fillId="24" fontId="13" numFmtId="164" xfId="0" applyAlignment="1" applyBorder="1" applyFont="1" applyNumberFormat="1">
      <alignment horizontal="center" readingOrder="0" vertical="center"/>
    </xf>
    <xf borderId="10" fillId="0" fontId="53" numFmtId="0" xfId="0" applyAlignment="1" applyBorder="1" applyFont="1">
      <alignment readingOrder="0" shrinkToFit="0" vertical="center" wrapText="1"/>
    </xf>
    <xf borderId="10" fillId="0" fontId="16" numFmtId="0" xfId="0" applyAlignment="1" applyBorder="1" applyFont="1">
      <alignment horizontal="center" readingOrder="0" vertical="center"/>
    </xf>
    <xf borderId="10" fillId="0" fontId="16" numFmtId="0" xfId="0" applyAlignment="1" applyBorder="1" applyFont="1">
      <alignment readingOrder="0" vertical="center"/>
    </xf>
    <xf borderId="10" fillId="0" fontId="16" numFmtId="164" xfId="0" applyAlignment="1" applyBorder="1" applyFont="1" applyNumberFormat="1">
      <alignment vertical="center"/>
    </xf>
    <xf borderId="10" fillId="0" fontId="17" numFmtId="164" xfId="0" applyAlignment="1" applyBorder="1" applyFont="1" applyNumberFormat="1">
      <alignment vertical="center"/>
    </xf>
    <xf borderId="10" fillId="7" fontId="18" numFmtId="164" xfId="0" applyAlignment="1" applyBorder="1" applyFont="1" applyNumberFormat="1">
      <alignment horizontal="center" readingOrder="0" vertical="center"/>
    </xf>
    <xf borderId="0" fillId="0" fontId="40" numFmtId="0" xfId="0" applyAlignment="1" applyFont="1">
      <alignment shrinkToFit="0" vertical="center" wrapText="1"/>
    </xf>
    <xf borderId="0" fillId="0" fontId="19" numFmtId="0" xfId="0" applyAlignment="1" applyFont="1">
      <alignment vertical="center"/>
    </xf>
    <xf borderId="10" fillId="0" fontId="21" numFmtId="164" xfId="0" applyAlignment="1" applyBorder="1" applyFont="1" applyNumberFormat="1">
      <alignment vertical="center"/>
    </xf>
    <xf borderId="0" fillId="0" fontId="19" numFmtId="0" xfId="0" applyAlignment="1" applyFont="1">
      <alignment readingOrder="0" vertical="center"/>
    </xf>
    <xf borderId="0" fillId="0" fontId="42" numFmtId="0" xfId="0" applyAlignment="1" applyFont="1">
      <alignment readingOrder="0" vertical="center"/>
    </xf>
    <xf borderId="0" fillId="0" fontId="52" numFmtId="0" xfId="0" applyAlignment="1" applyFont="1">
      <alignment readingOrder="0" vertical="center"/>
    </xf>
    <xf borderId="0" fillId="0" fontId="37" numFmtId="0" xfId="0" applyAlignment="1" applyFont="1">
      <alignment vertical="center"/>
    </xf>
    <xf borderId="12" fillId="7" fontId="18" numFmtId="164" xfId="0" applyAlignment="1" applyBorder="1" applyFont="1" applyNumberFormat="1">
      <alignment horizontal="center" readingOrder="0" vertical="center"/>
    </xf>
    <xf borderId="1" fillId="0" fontId="17" numFmtId="164" xfId="0" applyAlignment="1" applyBorder="1" applyFont="1" applyNumberFormat="1">
      <alignment vertical="center"/>
    </xf>
    <xf borderId="14" fillId="0" fontId="23" numFmtId="0" xfId="0" applyAlignment="1" applyBorder="1" applyFont="1">
      <alignment horizontal="center" readingOrder="0" vertical="center"/>
    </xf>
    <xf borderId="14" fillId="11" fontId="23" numFmtId="164" xfId="0" applyAlignment="1" applyBorder="1" applyFont="1" applyNumberFormat="1">
      <alignment readingOrder="0" vertical="center"/>
    </xf>
    <xf borderId="14" fillId="0" fontId="23" numFmtId="164" xfId="0" applyAlignment="1" applyBorder="1" applyFont="1" applyNumberFormat="1">
      <alignment vertical="center"/>
    </xf>
    <xf borderId="22" fillId="11" fontId="24" numFmtId="164" xfId="0" applyAlignment="1" applyBorder="1" applyFont="1" applyNumberFormat="1">
      <alignment horizontal="center" readingOrder="0" vertical="center"/>
    </xf>
    <xf borderId="0" fillId="0" fontId="25" numFmtId="0" xfId="0" applyAlignment="1" applyFont="1">
      <alignment horizontal="center" vertical="center"/>
    </xf>
    <xf borderId="0" fillId="0" fontId="25" numFmtId="0" xfId="0" applyAlignment="1" applyFont="1">
      <alignment horizontal="left" vertical="center"/>
    </xf>
    <xf borderId="0" fillId="0" fontId="26" numFmtId="164" xfId="0" applyAlignment="1" applyFont="1" applyNumberFormat="1">
      <alignment vertical="center"/>
    </xf>
    <xf borderId="0" fillId="0" fontId="27" numFmtId="0" xfId="0" applyAlignment="1" applyFont="1">
      <alignment vertical="center"/>
    </xf>
    <xf borderId="0" fillId="0" fontId="18" numFmtId="0" xfId="0" applyAlignment="1" applyFont="1">
      <alignment horizontal="center" vertical="center"/>
    </xf>
    <xf borderId="0" fillId="0" fontId="54" numFmtId="0" xfId="0" applyAlignment="1" applyFont="1">
      <alignment readingOrder="0" vertical="center"/>
    </xf>
    <xf borderId="0" fillId="0" fontId="16" numFmtId="0" xfId="0" applyAlignment="1" applyFont="1">
      <alignment horizontal="center" readingOrder="0" vertical="center"/>
    </xf>
    <xf borderId="0" fillId="9" fontId="55" numFmtId="0" xfId="0" applyAlignment="1" applyFont="1">
      <alignment readingOrder="0" vertical="center"/>
    </xf>
    <xf borderId="0" fillId="10" fontId="1" numFmtId="0" xfId="0" applyAlignment="1" applyFont="1">
      <alignment readingOrder="0" vertical="center"/>
    </xf>
    <xf borderId="0" fillId="0" fontId="16" numFmtId="0" xfId="0" applyAlignment="1" applyFont="1">
      <alignment horizontal="center" vertical="center"/>
    </xf>
    <xf borderId="0" fillId="10" fontId="1" numFmtId="0" xfId="0" applyAlignment="1" applyFont="1">
      <alignment readingOrder="0"/>
    </xf>
    <xf borderId="0" fillId="0" fontId="32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12" fillId="24" fontId="13" numFmtId="164" xfId="0" applyAlignment="1" applyBorder="1" applyFont="1" applyNumberFormat="1">
      <alignment horizontal="center" vertical="center"/>
    </xf>
    <xf borderId="0" fillId="0" fontId="53" numFmtId="0" xfId="0" applyAlignment="1" applyFont="1">
      <alignment shrinkToFit="0" vertical="center" wrapText="1"/>
    </xf>
    <xf borderId="0" fillId="6" fontId="56" numFmtId="0" xfId="0" applyAlignment="1" applyFont="1">
      <alignment horizontal="left" readingOrder="0" shrinkToFit="0" vertical="center" wrapText="0"/>
    </xf>
    <xf borderId="0" fillId="0" fontId="52" numFmtId="0" xfId="0" applyAlignment="1" applyFont="1">
      <alignment vertical="center"/>
    </xf>
    <xf borderId="0" fillId="6" fontId="57" numFmtId="0" xfId="0" applyAlignment="1" applyFont="1">
      <alignment horizontal="left" readingOrder="0"/>
    </xf>
    <xf borderId="0" fillId="0" fontId="58" numFmtId="0" xfId="0" applyAlignment="1" applyFont="1">
      <alignment readingOrder="0" vertical="center"/>
    </xf>
    <xf borderId="0" fillId="0" fontId="52" numFmtId="0" xfId="0" applyAlignment="1" applyFont="1">
      <alignment readingOrder="0" shrinkToFit="0" vertical="center" wrapText="0"/>
    </xf>
    <xf borderId="0" fillId="0" fontId="0" numFmtId="0" xfId="0" applyAlignment="1" applyFont="1">
      <alignment readingOrder="0" shrinkToFit="0" vertical="center" wrapText="0"/>
    </xf>
    <xf borderId="0" fillId="0" fontId="52" numFmtId="0" xfId="0" applyAlignment="1" applyFont="1">
      <alignment vertical="center"/>
    </xf>
    <xf borderId="0" fillId="0" fontId="0" numFmtId="0" xfId="0" applyAlignment="1" applyFont="1">
      <alignment shrinkToFit="0" vertical="center" wrapText="0"/>
    </xf>
    <xf borderId="28" fillId="0" fontId="23" numFmtId="0" xfId="0" applyAlignment="1" applyBorder="1" applyFont="1">
      <alignment readingOrder="0" vertical="center"/>
    </xf>
    <xf borderId="28" fillId="0" fontId="23" numFmtId="164" xfId="0" applyAlignment="1" applyBorder="1" applyFont="1" applyNumberFormat="1">
      <alignment vertical="center"/>
    </xf>
    <xf borderId="23" fillId="11" fontId="24" numFmtId="164" xfId="0" applyAlignment="1" applyBorder="1" applyFont="1" applyNumberFormat="1">
      <alignment horizontal="center" readingOrder="0" vertical="center"/>
    </xf>
    <xf borderId="0" fillId="0" fontId="18" numFmtId="0" xfId="0" applyAlignment="1" applyFont="1">
      <alignment horizontal="left" vertical="center"/>
    </xf>
    <xf borderId="0" fillId="0" fontId="17" numFmtId="164" xfId="0" applyAlignment="1" applyFont="1" applyNumberFormat="1">
      <alignment vertical="center"/>
    </xf>
    <xf borderId="0" fillId="0" fontId="59" numFmtId="164" xfId="0" applyAlignment="1" applyFont="1" applyNumberFormat="1">
      <alignment vertical="center"/>
    </xf>
    <xf borderId="0" fillId="0" fontId="16" numFmtId="0" xfId="0" applyAlignment="1" applyFont="1">
      <alignment vertical="center"/>
    </xf>
    <xf borderId="0" fillId="0" fontId="15" numFmtId="0" xfId="0" applyAlignment="1" applyFont="1">
      <alignment horizontal="center" vertical="center"/>
    </xf>
    <xf borderId="0" fillId="0" fontId="60" numFmtId="0" xfId="0" applyAlignment="1" applyFont="1">
      <alignment readingOrder="0" vertical="center"/>
    </xf>
    <xf borderId="0" fillId="0" fontId="0" numFmtId="0" xfId="0" applyAlignment="1" applyFont="1">
      <alignment horizontal="center" readingOrder="0" vertical="center"/>
    </xf>
    <xf borderId="0" fillId="25" fontId="61" numFmtId="0" xfId="0" applyAlignment="1" applyFill="1" applyFont="1">
      <alignment readingOrder="0" vertical="center"/>
    </xf>
    <xf borderId="0" fillId="5" fontId="62" numFmtId="0" xfId="0" applyAlignment="1" applyFont="1">
      <alignment readingOrder="0" vertical="center"/>
    </xf>
    <xf borderId="0" fillId="0" fontId="0" numFmtId="0" xfId="0" applyAlignment="1" applyFont="1">
      <alignment horizontal="center" vertical="center"/>
    </xf>
    <xf borderId="0" fillId="0" fontId="62" numFmtId="0" xfId="0" applyAlignment="1" applyFont="1">
      <alignment vertical="center"/>
    </xf>
    <xf borderId="0" fillId="0" fontId="62" numFmtId="0" xfId="0" applyAlignment="1" applyFont="1">
      <alignment horizontal="center" vertical="center"/>
    </xf>
    <xf borderId="0" fillId="0" fontId="32" numFmtId="0" xfId="0" applyAlignment="1" applyFont="1">
      <alignment horizontal="left" readingOrder="0" shrinkToFit="0" vertical="center" wrapText="0"/>
    </xf>
    <xf borderId="0" fillId="0" fontId="63" numFmtId="0" xfId="0" applyAlignment="1" applyFont="1">
      <alignment horizontal="left" readingOrder="0" shrinkToFit="0" vertical="center" wrapText="0"/>
    </xf>
    <xf borderId="10" fillId="0" fontId="19" numFmtId="0" xfId="0" applyAlignment="1" applyBorder="1" applyFont="1">
      <alignment horizontal="right" readingOrder="0" vertical="center"/>
    </xf>
    <xf borderId="10" fillId="7" fontId="19" numFmtId="164" xfId="0" applyAlignment="1" applyBorder="1" applyFont="1" applyNumberFormat="1">
      <alignment readingOrder="0" vertical="center"/>
    </xf>
    <xf borderId="1" fillId="12" fontId="40" numFmtId="168" xfId="0" applyAlignment="1" applyBorder="1" applyFont="1" applyNumberFormat="1">
      <alignment readingOrder="0" vertical="center"/>
    </xf>
    <xf borderId="10" fillId="7" fontId="19" numFmtId="166" xfId="0" applyAlignment="1" applyBorder="1" applyFont="1" applyNumberFormat="1">
      <alignment readingOrder="0" vertical="center"/>
    </xf>
    <xf borderId="10" fillId="0" fontId="17" numFmtId="164" xfId="0" applyAlignment="1" applyBorder="1" applyFont="1" applyNumberFormat="1">
      <alignment vertical="center"/>
    </xf>
    <xf borderId="1" fillId="12" fontId="64" numFmtId="168" xfId="0" applyAlignment="1" applyBorder="1" applyFont="1" applyNumberFormat="1">
      <alignment readingOrder="0" vertical="center"/>
    </xf>
    <xf borderId="10" fillId="7" fontId="19" numFmtId="0" xfId="0" applyAlignment="1" applyBorder="1" applyFont="1">
      <alignment readingOrder="0" vertical="center"/>
    </xf>
    <xf borderId="10" fillId="7" fontId="19" numFmtId="10" xfId="0" applyAlignment="1" applyBorder="1" applyFont="1" applyNumberFormat="1">
      <alignment readingOrder="0" vertical="center"/>
    </xf>
    <xf borderId="0" fillId="26" fontId="13" numFmtId="0" xfId="0" applyAlignment="1" applyFill="1" applyFont="1">
      <alignment horizontal="center" readingOrder="0" vertical="center"/>
    </xf>
    <xf borderId="10" fillId="26" fontId="13" numFmtId="0" xfId="0" applyAlignment="1" applyBorder="1" applyFont="1">
      <alignment vertical="center"/>
    </xf>
    <xf borderId="10" fillId="26" fontId="13" numFmtId="164" xfId="0" applyAlignment="1" applyBorder="1" applyFont="1" applyNumberFormat="1">
      <alignment horizontal="center" vertical="center"/>
    </xf>
    <xf borderId="1" fillId="26" fontId="13" numFmtId="164" xfId="0" applyAlignment="1" applyBorder="1" applyFont="1" applyNumberFormat="1">
      <alignment horizontal="center" readingOrder="0" vertical="center"/>
    </xf>
    <xf borderId="26" fillId="26" fontId="13" numFmtId="164" xfId="0" applyAlignment="1" applyBorder="1" applyFont="1" applyNumberFormat="1">
      <alignment horizontal="center" vertical="center"/>
    </xf>
    <xf borderId="10" fillId="9" fontId="15" numFmtId="0" xfId="0" applyAlignment="1" applyBorder="1" applyFont="1">
      <alignment readingOrder="0" shrinkToFit="0" vertical="center" wrapText="1"/>
    </xf>
    <xf borderId="10" fillId="0" fontId="15" numFmtId="0" xfId="0" applyAlignment="1" applyBorder="1" applyFont="1">
      <alignment vertical="center"/>
    </xf>
    <xf borderId="10" fillId="26" fontId="13" numFmtId="164" xfId="0" applyAlignment="1" applyBorder="1" applyFont="1" applyNumberFormat="1">
      <alignment horizontal="center" readingOrder="0" vertical="center"/>
    </xf>
    <xf borderId="10" fillId="0" fontId="19" numFmtId="0" xfId="0" applyAlignment="1" applyBorder="1" applyFont="1">
      <alignment horizontal="center" readingOrder="0" vertical="center"/>
    </xf>
    <xf borderId="3" fillId="0" fontId="19" numFmtId="0" xfId="0" applyAlignment="1" applyBorder="1" applyFont="1">
      <alignment readingOrder="0" vertical="center"/>
    </xf>
    <xf borderId="10" fillId="0" fontId="19" numFmtId="164" xfId="0" applyAlignment="1" applyBorder="1" applyFont="1" applyNumberFormat="1">
      <alignment readingOrder="0" vertical="center"/>
    </xf>
    <xf borderId="0" fillId="6" fontId="52" numFmtId="0" xfId="0" applyAlignment="1" applyFont="1">
      <alignment horizontal="left" readingOrder="0"/>
    </xf>
    <xf borderId="0" fillId="0" fontId="22" numFmtId="0" xfId="0" applyAlignment="1" applyFont="1">
      <alignment readingOrder="0" vertical="center"/>
    </xf>
    <xf borderId="10" fillId="0" fontId="20" numFmtId="164" xfId="0" applyAlignment="1" applyBorder="1" applyFont="1" applyNumberFormat="1">
      <alignment vertical="center"/>
    </xf>
    <xf borderId="3" fillId="0" fontId="16" numFmtId="0" xfId="0" applyAlignment="1" applyBorder="1" applyFont="1">
      <alignment readingOrder="0" vertical="center"/>
    </xf>
    <xf borderId="10" fillId="0" fontId="21" numFmtId="164" xfId="0" applyAlignment="1" applyBorder="1" applyFont="1" applyNumberFormat="1">
      <alignment readingOrder="0" vertical="center"/>
    </xf>
    <xf borderId="14" fillId="11" fontId="23" numFmtId="164" xfId="0" applyAlignment="1" applyBorder="1" applyFont="1" applyNumberFormat="1">
      <alignment vertical="center"/>
    </xf>
    <xf borderId="0" fillId="0" fontId="65" numFmtId="0" xfId="0" applyAlignment="1" applyFont="1">
      <alignment vertical="center"/>
    </xf>
    <xf borderId="0" fillId="0" fontId="12" numFmtId="0" xfId="0" applyAlignment="1" applyFont="1">
      <alignment readingOrder="0" vertical="center"/>
    </xf>
    <xf borderId="10" fillId="0" fontId="66" numFmtId="0" xfId="0" applyAlignment="1" applyBorder="1" applyFont="1">
      <alignment horizontal="right"/>
    </xf>
    <xf borderId="3" fillId="0" fontId="52" numFmtId="164" xfId="0" applyBorder="1" applyFont="1" applyNumberFormat="1"/>
    <xf borderId="3" fillId="7" fontId="52" numFmtId="164" xfId="0" applyBorder="1" applyFont="1" applyNumberFormat="1"/>
    <xf borderId="16" fillId="12" fontId="18" numFmtId="164" xfId="0" applyAlignment="1" applyBorder="1" applyFont="1" applyNumberFormat="1">
      <alignment shrinkToFit="0" wrapText="1"/>
    </xf>
    <xf borderId="0" fillId="27" fontId="67" numFmtId="0" xfId="0" applyAlignment="1" applyFill="1" applyFont="1">
      <alignment readingOrder="0" vertical="center"/>
    </xf>
    <xf borderId="11" fillId="0" fontId="66" numFmtId="0" xfId="0" applyAlignment="1" applyBorder="1" applyFont="1">
      <alignment horizontal="right"/>
    </xf>
    <xf borderId="21" fillId="0" fontId="52" numFmtId="164" xfId="0" applyBorder="1" applyFont="1" applyNumberFormat="1"/>
    <xf borderId="21" fillId="7" fontId="52" numFmtId="164" xfId="0" applyBorder="1" applyFont="1" applyNumberFormat="1"/>
    <xf borderId="0" fillId="0" fontId="68" numFmtId="0" xfId="0" applyAlignment="1" applyFont="1">
      <alignment readingOrder="0" vertical="center"/>
    </xf>
    <xf borderId="21" fillId="13" fontId="69" numFmtId="9" xfId="0" applyAlignment="1" applyBorder="1" applyFont="1" applyNumberFormat="1">
      <alignment horizontal="right"/>
    </xf>
    <xf borderId="10" fillId="0" fontId="70" numFmtId="164" xfId="0" applyAlignment="1" applyBorder="1" applyFont="1" applyNumberFormat="1">
      <alignment horizontal="right" shrinkToFit="0" vertical="center" wrapText="0"/>
    </xf>
    <xf borderId="0" fillId="0" fontId="68" numFmtId="0" xfId="0" applyAlignment="1" applyFont="1">
      <alignment vertical="center"/>
    </xf>
    <xf borderId="30" fillId="0" fontId="66" numFmtId="0" xfId="0" applyAlignment="1" applyBorder="1" applyFont="1">
      <alignment horizontal="right"/>
    </xf>
    <xf borderId="31" fillId="0" fontId="52" numFmtId="164" xfId="0" applyBorder="1" applyFont="1" applyNumberFormat="1"/>
    <xf borderId="31" fillId="7" fontId="52" numFmtId="164" xfId="0" applyBorder="1" applyFont="1" applyNumberFormat="1"/>
    <xf borderId="21" fillId="0" fontId="71" numFmtId="164" xfId="0" applyAlignment="1" applyBorder="1" applyFont="1" applyNumberFormat="1">
      <alignment horizontal="right"/>
    </xf>
    <xf borderId="20" fillId="0" fontId="19" numFmtId="164" xfId="0" applyBorder="1" applyFont="1" applyNumberFormat="1"/>
    <xf borderId="20" fillId="0" fontId="19" numFmtId="164" xfId="0" applyAlignment="1" applyBorder="1" applyFont="1" applyNumberFormat="1">
      <alignment vertical="bottom"/>
    </xf>
    <xf borderId="32" fillId="12" fontId="18" numFmtId="164" xfId="0" applyAlignment="1" applyBorder="1" applyFont="1" applyNumberFormat="1">
      <alignment shrinkToFit="0" wrapText="0"/>
    </xf>
    <xf borderId="21" fillId="12" fontId="19" numFmtId="164" xfId="0" applyBorder="1" applyFont="1" applyNumberFormat="1"/>
    <xf borderId="21" fillId="0" fontId="52" numFmtId="165" xfId="0" applyBorder="1" applyFont="1" applyNumberFormat="1"/>
    <xf borderId="21" fillId="7" fontId="52" numFmtId="165" xfId="0" applyBorder="1" applyFont="1" applyNumberFormat="1"/>
    <xf borderId="22" fillId="0" fontId="66" numFmtId="0" xfId="0" applyAlignment="1" applyBorder="1" applyFont="1">
      <alignment horizontal="right"/>
    </xf>
    <xf borderId="23" fillId="0" fontId="52" numFmtId="166" xfId="0" applyBorder="1" applyFont="1" applyNumberFormat="1"/>
    <xf borderId="23" fillId="7" fontId="66" numFmtId="166" xfId="0" applyAlignment="1" applyBorder="1" applyFont="1" applyNumberFormat="1">
      <alignment horizontal="right"/>
    </xf>
    <xf borderId="23" fillId="0" fontId="72" numFmtId="164" xfId="0" applyAlignment="1" applyBorder="1" applyFont="1" applyNumberFormat="1">
      <alignment horizontal="right"/>
    </xf>
    <xf borderId="0" fillId="0" fontId="32" numFmtId="0" xfId="0" applyAlignment="1" applyFont="1">
      <alignment horizontal="right"/>
    </xf>
    <xf borderId="0" fillId="0" fontId="52" numFmtId="164" xfId="0" applyFont="1" applyNumberFormat="1"/>
    <xf borderId="0" fillId="0" fontId="32" numFmtId="164" xfId="0" applyAlignment="1" applyFont="1" applyNumberFormat="1">
      <alignment horizontal="right"/>
    </xf>
    <xf borderId="0" fillId="0" fontId="19" numFmtId="164" xfId="0" applyAlignment="1" applyFont="1" applyNumberFormat="1">
      <alignment vertical="bottom"/>
    </xf>
    <xf borderId="0" fillId="0" fontId="19" numFmtId="164" xfId="0" applyFont="1" applyNumberFormat="1"/>
    <xf borderId="0" fillId="0" fontId="52" numFmtId="0" xfId="0" applyFont="1"/>
    <xf borderId="32" fillId="0" fontId="32" numFmtId="164" xfId="0" applyAlignment="1" applyBorder="1" applyFont="1" applyNumberFormat="1">
      <alignment shrinkToFit="0" wrapText="0"/>
    </xf>
    <xf borderId="20" fillId="0" fontId="32" numFmtId="164" xfId="0" applyBorder="1" applyFont="1" applyNumberFormat="1"/>
    <xf borderId="20" fillId="0" fontId="52" numFmtId="164" xfId="0" applyBorder="1" applyFont="1" applyNumberFormat="1"/>
    <xf borderId="18" fillId="0" fontId="52" numFmtId="0" xfId="0" applyBorder="1" applyFont="1"/>
    <xf borderId="20" fillId="0" fontId="66" numFmtId="164" xfId="0" applyBorder="1" applyFont="1" applyNumberFormat="1"/>
    <xf borderId="21" fillId="0" fontId="72" numFmtId="164" xfId="0" applyAlignment="1" applyBorder="1" applyFont="1" applyNumberFormat="1">
      <alignment horizontal="right"/>
    </xf>
    <xf borderId="21" fillId="7" fontId="66" numFmtId="10" xfId="0" applyAlignment="1" applyBorder="1" applyFont="1" applyNumberFormat="1">
      <alignment horizontal="right"/>
    </xf>
    <xf borderId="21" fillId="12" fontId="19" numFmtId="0" xfId="0" applyBorder="1" applyFont="1"/>
    <xf borderId="33" fillId="0" fontId="66" numFmtId="164" xfId="0" applyAlignment="1" applyBorder="1" applyFont="1" applyNumberFormat="1">
      <alignment shrinkToFit="0" wrapText="0"/>
    </xf>
    <xf borderId="23" fillId="0" fontId="52" numFmtId="164" xfId="0" applyBorder="1" applyFont="1" applyNumberFormat="1"/>
    <xf borderId="23" fillId="7" fontId="66" numFmtId="164" xfId="0" applyAlignment="1" applyBorder="1" applyFont="1" applyNumberFormat="1">
      <alignment horizontal="right"/>
    </xf>
    <xf borderId="32" fillId="12" fontId="18" numFmtId="0" xfId="0" applyAlignment="1" applyBorder="1" applyFont="1">
      <alignment shrinkToFit="0" wrapText="0"/>
    </xf>
    <xf borderId="0" fillId="0" fontId="52" numFmtId="0" xfId="0" applyFont="1"/>
    <xf borderId="34" fillId="0" fontId="52" numFmtId="164" xfId="0" applyAlignment="1" applyBorder="1" applyFont="1" applyNumberFormat="1">
      <alignment shrinkToFit="0" wrapText="0"/>
    </xf>
    <xf borderId="0" fillId="0" fontId="32" numFmtId="167" xfId="0" applyAlignment="1" applyFont="1" applyNumberFormat="1">
      <alignment horizontal="right"/>
    </xf>
    <xf borderId="0" fillId="0" fontId="52" numFmtId="0" xfId="0" applyAlignment="1" applyFont="1">
      <alignment vertical="bottom"/>
    </xf>
    <xf borderId="10" fillId="28" fontId="73" numFmtId="164" xfId="0" applyAlignment="1" applyBorder="1" applyFill="1" applyFont="1" applyNumberFormat="1">
      <alignment readingOrder="0" vertical="center"/>
    </xf>
    <xf borderId="10" fillId="28" fontId="74" numFmtId="164" xfId="0" applyAlignment="1" applyBorder="1" applyFont="1" applyNumberFormat="1">
      <alignment horizontal="center" readingOrder="0" vertical="center"/>
    </xf>
    <xf borderId="10" fillId="28" fontId="74" numFmtId="164" xfId="0" applyAlignment="1" applyBorder="1" applyFont="1" applyNumberFormat="1">
      <alignment horizontal="center" readingOrder="0" shrinkToFit="0" vertical="center" wrapText="0"/>
    </xf>
    <xf borderId="0" fillId="29" fontId="75" numFmtId="0" xfId="0" applyAlignment="1" applyFill="1" applyFont="1">
      <alignment readingOrder="0" vertical="center"/>
    </xf>
    <xf borderId="0" fillId="28" fontId="68" numFmtId="0" xfId="0" applyAlignment="1" applyFont="1">
      <alignment readingOrder="0" vertical="center"/>
    </xf>
    <xf borderId="0" fillId="0" fontId="52" numFmtId="164" xfId="0" applyAlignment="1" applyFont="1" applyNumberFormat="1">
      <alignment vertical="bottom"/>
    </xf>
    <xf borderId="21" fillId="12" fontId="52" numFmtId="164" xfId="0" applyBorder="1" applyFont="1" applyNumberFormat="1"/>
    <xf borderId="21" fillId="12" fontId="52" numFmtId="0" xfId="0" applyBorder="1" applyFont="1"/>
    <xf borderId="0" fillId="24" fontId="13" numFmtId="0" xfId="0" applyAlignment="1" applyFont="1">
      <alignment horizontal="center" readingOrder="0" vertical="center"/>
    </xf>
    <xf borderId="10" fillId="9" fontId="53" numFmtId="0" xfId="0" applyAlignment="1" applyBorder="1" applyFont="1">
      <alignment readingOrder="0" shrinkToFit="0" vertical="center" wrapText="0"/>
    </xf>
    <xf borderId="10" fillId="0" fontId="0" numFmtId="0" xfId="0" applyAlignment="1" applyBorder="1" applyFont="1">
      <alignment horizontal="center" readingOrder="0" vertical="center"/>
    </xf>
    <xf borderId="10" fillId="0" fontId="0" numFmtId="0" xfId="0" applyAlignment="1" applyBorder="1" applyFont="1">
      <alignment readingOrder="0" vertical="center"/>
    </xf>
    <xf borderId="10" fillId="0" fontId="52" numFmtId="164" xfId="0" applyAlignment="1" applyBorder="1" applyFont="1" applyNumberFormat="1">
      <alignment readingOrder="0" vertical="center"/>
    </xf>
    <xf borderId="10" fillId="0" fontId="70" numFmtId="164" xfId="0" applyAlignment="1" applyBorder="1" applyFont="1" applyNumberFormat="1">
      <alignment vertical="center"/>
    </xf>
    <xf borderId="10" fillId="7" fontId="53" numFmtId="164" xfId="0" applyAlignment="1" applyBorder="1" applyFont="1" applyNumberFormat="1">
      <alignment horizontal="center" readingOrder="0" vertical="center"/>
    </xf>
    <xf borderId="10" fillId="0" fontId="52" numFmtId="164" xfId="0" applyAlignment="1" applyBorder="1" applyFont="1" applyNumberFormat="1">
      <alignment horizontal="right" vertical="center"/>
    </xf>
    <xf borderId="10" fillId="0" fontId="76" numFmtId="164" xfId="0" applyAlignment="1" applyBorder="1" applyFont="1" applyNumberFormat="1">
      <alignment horizontal="right" vertical="center"/>
    </xf>
    <xf borderId="10" fillId="7" fontId="15" numFmtId="164" xfId="0" applyAlignment="1" applyBorder="1" applyFont="1" applyNumberFormat="1">
      <alignment horizontal="center" readingOrder="0" vertical="center"/>
    </xf>
    <xf borderId="10" fillId="7" fontId="52" numFmtId="164" xfId="0" applyAlignment="1" applyBorder="1" applyFont="1" applyNumberFormat="1">
      <alignment vertical="center"/>
    </xf>
    <xf borderId="10" fillId="6" fontId="0" numFmtId="0" xfId="0" applyAlignment="1" applyBorder="1" applyFont="1">
      <alignment horizontal="center" readingOrder="0" vertical="center"/>
    </xf>
    <xf borderId="10" fillId="6" fontId="0" numFmtId="0" xfId="0" applyAlignment="1" applyBorder="1" applyFont="1">
      <alignment horizontal="left" readingOrder="0" vertical="center"/>
    </xf>
    <xf borderId="14" fillId="0" fontId="77" numFmtId="0" xfId="0" applyAlignment="1" applyBorder="1" applyFont="1">
      <alignment horizontal="center" readingOrder="0" vertical="center"/>
    </xf>
    <xf borderId="14" fillId="0" fontId="77" numFmtId="0" xfId="0" applyAlignment="1" applyBorder="1" applyFont="1">
      <alignment readingOrder="0" vertical="center"/>
    </xf>
    <xf borderId="14" fillId="7" fontId="60" numFmtId="164" xfId="0" applyAlignment="1" applyBorder="1" applyFont="1" applyNumberFormat="1">
      <alignment readingOrder="0" vertical="center"/>
    </xf>
    <xf borderId="14" fillId="0" fontId="78" numFmtId="164" xfId="0" applyAlignment="1" applyBorder="1" applyFont="1" applyNumberFormat="1">
      <alignment vertical="center"/>
    </xf>
    <xf borderId="14" fillId="7" fontId="79" numFmtId="164" xfId="0" applyAlignment="1" applyBorder="1" applyFont="1" applyNumberFormat="1">
      <alignment horizontal="center" readingOrder="0" vertical="center"/>
    </xf>
    <xf borderId="0" fillId="0" fontId="60" numFmtId="0" xfId="0" applyAlignment="1" applyFont="1">
      <alignment vertical="center"/>
    </xf>
    <xf borderId="0" fillId="0" fontId="80" numFmtId="0" xfId="0" applyAlignment="1" applyFont="1">
      <alignment horizontal="center" readingOrder="0" vertical="center"/>
    </xf>
    <xf borderId="11" fillId="0" fontId="80" numFmtId="0" xfId="0" applyAlignment="1" applyBorder="1" applyFont="1">
      <alignment horizontal="left" readingOrder="0" vertical="center"/>
    </xf>
    <xf borderId="11" fillId="11" fontId="60" numFmtId="0" xfId="0" applyAlignment="1" applyBorder="1" applyFont="1">
      <alignment vertical="center"/>
    </xf>
    <xf borderId="11" fillId="0" fontId="60" numFmtId="164" xfId="0" applyAlignment="1" applyBorder="1" applyFont="1" applyNumberFormat="1">
      <alignment vertical="center"/>
    </xf>
    <xf borderId="11" fillId="11" fontId="79" numFmtId="164" xfId="0" applyAlignment="1" applyBorder="1" applyFont="1" applyNumberFormat="1">
      <alignment horizontal="center" readingOrder="0" vertical="center"/>
    </xf>
    <xf borderId="0" fillId="0" fontId="52" numFmtId="0" xfId="0" applyAlignment="1" applyFont="1">
      <alignment horizontal="center" vertical="center"/>
    </xf>
    <xf borderId="0" fillId="0" fontId="60" numFmtId="0" xfId="0" applyAlignment="1" applyFont="1">
      <alignment horizontal="center" readingOrder="0" vertical="center"/>
    </xf>
    <xf borderId="0" fillId="0" fontId="67" numFmtId="169" xfId="0" applyAlignment="1" applyFont="1" applyNumberFormat="1">
      <alignment horizontal="left" readingOrder="0"/>
    </xf>
    <xf borderId="0" fillId="0" fontId="1" numFmtId="0" xfId="0" applyAlignment="1" applyFont="1">
      <alignment horizontal="left" readingOrder="0"/>
    </xf>
    <xf borderId="0" fillId="0" fontId="81" numFmtId="0" xfId="0" applyAlignment="1" applyFont="1">
      <alignment horizontal="left" readingOrder="0"/>
    </xf>
    <xf borderId="0" fillId="0" fontId="81" numFmtId="0" xfId="0" applyFont="1"/>
    <xf borderId="0" fillId="0" fontId="67" numFmtId="0" xfId="0" applyAlignment="1" applyFont="1">
      <alignment horizontal="left" readingOrder="0"/>
    </xf>
    <xf borderId="0" fillId="0" fontId="1" numFmtId="0" xfId="0" applyAlignment="1" applyFont="1">
      <alignment horizontal="left" readingOrder="0"/>
    </xf>
    <xf borderId="0" fillId="0" fontId="82" numFmtId="0" xfId="0" applyAlignment="1" applyFont="1">
      <alignment horizontal="left" readingOrder="0" shrinkToFit="0" wrapText="0"/>
    </xf>
    <xf borderId="0" fillId="0" fontId="33" numFmtId="0" xfId="0" applyAlignment="1" applyFont="1">
      <alignment horizontal="center" readingOrder="0" vertical="center"/>
    </xf>
    <xf borderId="0" fillId="0" fontId="62" numFmtId="0" xfId="0" applyAlignment="1" applyFont="1">
      <alignment horizontal="left" readingOrder="0"/>
    </xf>
    <xf borderId="0" fillId="0" fontId="62" numFmtId="0" xfId="0" applyAlignment="1" applyFont="1">
      <alignment horizontal="left"/>
    </xf>
    <xf borderId="0" fillId="0" fontId="1" numFmtId="0" xfId="0" applyAlignment="1" applyFont="1">
      <alignment horizontal="left"/>
    </xf>
  </cellXfs>
  <cellStyles count="1">
    <cellStyle xfId="0" name="Normal" builtinId="0"/>
  </cellStyles>
  <dxfs count="27">
    <dxf>
      <font>
        <color rgb="FF274E13"/>
      </font>
      <fill>
        <patternFill patternType="solid">
          <fgColor rgb="FFD9EAD3"/>
          <bgColor rgb="FFD9EAD3"/>
        </patternFill>
      </fill>
      <border/>
    </dxf>
    <dxf>
      <font>
        <color rgb="FFB7B7B7"/>
      </font>
      <fill>
        <patternFill patternType="none"/>
      </fill>
      <border/>
    </dxf>
    <dxf>
      <font/>
      <fill>
        <patternFill patternType="solid">
          <fgColor rgb="FFD9EAD3"/>
          <bgColor rgb="FFD9EAD3"/>
        </patternFill>
      </fill>
      <border/>
    </dxf>
    <dxf>
      <font>
        <color rgb="FF990000"/>
      </font>
      <fill>
        <patternFill patternType="solid">
          <fgColor rgb="FFF4C7C3"/>
          <bgColor rgb="FFF4C7C3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  <dxf>
      <font>
        <color rgb="FFFF0000"/>
      </font>
      <fill>
        <patternFill patternType="solid">
          <fgColor rgb="FFF4CCCC"/>
          <bgColor rgb="FFF4CCCC"/>
        </patternFill>
      </fill>
      <border/>
    </dxf>
    <dxf>
      <font>
        <color rgb="FFB45F06"/>
      </font>
      <fill>
        <patternFill patternType="solid">
          <fgColor rgb="FFFCE5CD"/>
          <bgColor rgb="FFFCE5CD"/>
        </patternFill>
      </fill>
      <border/>
    </dxf>
    <dxf>
      <font>
        <color rgb="FFCCCCCC"/>
      </font>
      <fill>
        <patternFill patternType="none"/>
      </fill>
      <border/>
    </dxf>
    <dxf>
      <font>
        <color rgb="FF0000FF"/>
      </font>
      <fill>
        <patternFill patternType="solid">
          <fgColor rgb="FFCFE2F3"/>
          <bgColor rgb="FFCFE2F3"/>
        </patternFill>
      </fill>
      <border/>
    </dxf>
    <dxf>
      <font>
        <color rgb="FF38761D"/>
      </font>
      <fill>
        <patternFill patternType="none"/>
      </fill>
      <border/>
    </dxf>
    <dxf>
      <font/>
      <fill>
        <patternFill patternType="solid">
          <fgColor rgb="FFF4CCCC"/>
          <bgColor rgb="FFF4CCCC"/>
        </patternFill>
      </fill>
      <border/>
    </dxf>
    <dxf>
      <font>
        <color rgb="FFD9D9D9"/>
      </font>
      <fill>
        <patternFill patternType="none"/>
      </fill>
      <border/>
    </dxf>
    <dxf>
      <font>
        <color rgb="FFCCCCCC"/>
      </font>
      <fill>
        <patternFill patternType="solid">
          <fgColor rgb="FFFFFFFF"/>
          <bgColor rgb="FFFFFFFF"/>
        </patternFill>
      </fill>
      <border/>
    </dxf>
    <dxf>
      <font>
        <color rgb="FFFF0000"/>
      </font>
      <fill>
        <patternFill patternType="solid">
          <fgColor rgb="FFF4C7C3"/>
          <bgColor rgb="FFF4C7C3"/>
        </patternFill>
      </fill>
      <border/>
    </dxf>
    <dxf>
      <font/>
      <fill>
        <patternFill patternType="solid">
          <fgColor rgb="FFCFE2F3"/>
          <bgColor rgb="FFCFE2F3"/>
        </patternFill>
      </fill>
      <border/>
    </dxf>
    <dxf>
      <font>
        <color rgb="FF434343"/>
      </font>
      <fill>
        <patternFill patternType="solid">
          <fgColor rgb="FFB7B7B7"/>
          <bgColor rgb="FFB7B7B7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FF2CC"/>
          <bgColor rgb="FFFFF2CC"/>
        </patternFill>
      </fill>
      <border/>
    </dxf>
    <dxf>
      <font>
        <color rgb="FFD9D9D9"/>
      </font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CE5CD"/>
          <bgColor rgb="FFFCE5CD"/>
        </patternFill>
      </fill>
      <border/>
    </dxf>
    <dxf>
      <font/>
      <fill>
        <patternFill patternType="solid">
          <fgColor rgb="FFF9CB9C"/>
          <bgColor rgb="FFF9CB9C"/>
        </patternFill>
      </fill>
      <border/>
    </dxf>
    <dxf>
      <font>
        <color rgb="FF990000"/>
      </font>
      <fill>
        <patternFill patternType="solid">
          <fgColor rgb="FFF4CCCC"/>
          <bgColor rgb="FFF4CCCC"/>
        </patternFill>
      </fill>
      <border/>
    </dxf>
    <dxf>
      <font>
        <color rgb="FFB7B7B7"/>
      </font>
      <fill>
        <patternFill patternType="solid">
          <fgColor rgb="FFFFFFFF"/>
          <bgColor rgb="FFFFFFFF"/>
        </patternFill>
      </fill>
      <border/>
    </dxf>
    <dxf>
      <font>
        <color rgb="FFCC0000"/>
      </font>
      <fill>
        <patternFill patternType="solid">
          <fgColor rgb="FFF4C7C3"/>
          <bgColor rgb="FFF4C7C3"/>
        </patternFill>
      </fill>
      <border/>
    </dxf>
    <dxf>
      <font>
        <color rgb="FF351C75"/>
      </font>
      <fill>
        <patternFill patternType="solid">
          <fgColor rgb="FFD9D2E9"/>
          <bgColor rgb="FFD9D2E9"/>
        </patternFill>
      </fill>
      <border/>
    </dxf>
    <dxf>
      <font>
        <color rgb="FF0B8043"/>
      </font>
      <fill>
        <patternFill patternType="none"/>
      </fill>
      <border/>
    </dxf>
    <dxf>
      <font>
        <color rgb="FFFF000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2" Type="http://schemas.openxmlformats.org/officeDocument/2006/relationships/worksheet" Target="worksheets/sheet10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5" Type="http://schemas.openxmlformats.org/officeDocument/2006/relationships/worksheet" Target="worksheets/sheet13.xml"/><Relationship Id="rId14" Type="http://schemas.openxmlformats.org/officeDocument/2006/relationships/worksheet" Target="worksheets/sheet12.xml"/><Relationship Id="rId17" Type="http://schemas.openxmlformats.org/officeDocument/2006/relationships/worksheet" Target="worksheets/sheet15.xml"/><Relationship Id="rId16" Type="http://schemas.openxmlformats.org/officeDocument/2006/relationships/worksheet" Target="worksheets/sheet14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18" Type="http://schemas.openxmlformats.org/officeDocument/2006/relationships/worksheet" Target="worksheets/sheet16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ko-fi.com/jodygates" TargetMode="External"/><Relationship Id="rId3" Type="http://schemas.openxmlformats.org/officeDocument/2006/relationships/drawing" Target="../drawings/drawing5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hyperlink" Target="https://ko-fi.com/jodygates" TargetMode="External"/><Relationship Id="rId2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1"/>
      <c r="B1" s="1"/>
      <c r="C1" s="1"/>
      <c r="D1" s="1"/>
      <c r="E1" s="1"/>
      <c r="F1" s="1"/>
      <c r="G1" s="1"/>
      <c r="H1" s="1"/>
      <c r="I1" s="1"/>
    </row>
    <row r="2">
      <c r="A2" s="1"/>
      <c r="B2" s="2" t="s">
        <v>0</v>
      </c>
      <c r="C2" s="3"/>
      <c r="D2" s="3"/>
      <c r="E2" s="3"/>
      <c r="F2" s="3"/>
      <c r="G2" s="3"/>
      <c r="H2" s="4"/>
      <c r="I2" s="5"/>
    </row>
    <row r="3">
      <c r="A3" s="1"/>
      <c r="B3" s="6"/>
      <c r="C3" s="6"/>
      <c r="D3" s="6"/>
      <c r="E3" s="6"/>
      <c r="F3" s="6"/>
      <c r="G3" s="6"/>
      <c r="H3" s="6"/>
      <c r="I3" s="5"/>
    </row>
    <row r="4">
      <c r="A4" s="1"/>
      <c r="B4" s="7" t="s">
        <v>1</v>
      </c>
      <c r="I4" s="5"/>
    </row>
    <row r="5">
      <c r="A5" s="1"/>
      <c r="B5" s="5"/>
      <c r="C5" s="5"/>
      <c r="D5" s="5"/>
      <c r="E5" s="5"/>
      <c r="F5" s="5"/>
      <c r="G5" s="5"/>
      <c r="H5" s="5"/>
      <c r="I5" s="5"/>
    </row>
    <row r="6" ht="33.75" customHeight="1">
      <c r="A6" s="1"/>
      <c r="B6" s="8">
        <v>1.0</v>
      </c>
      <c r="C6" s="9" t="s">
        <v>2</v>
      </c>
      <c r="H6" s="8"/>
      <c r="I6" s="5"/>
    </row>
    <row r="7" ht="33.75" customHeight="1">
      <c r="A7" s="1"/>
      <c r="B7" s="8">
        <v>2.0</v>
      </c>
      <c r="C7" s="10" t="s">
        <v>3</v>
      </c>
      <c r="D7" s="11"/>
      <c r="E7" s="11"/>
      <c r="F7" s="11"/>
      <c r="G7" s="12"/>
      <c r="H7" s="8"/>
      <c r="I7" s="5"/>
    </row>
    <row r="8" ht="33.75" customHeight="1">
      <c r="A8" s="1"/>
      <c r="B8" s="8">
        <v>3.0</v>
      </c>
      <c r="C8" s="13" t="s">
        <v>4</v>
      </c>
      <c r="H8" s="8"/>
      <c r="I8" s="5"/>
    </row>
    <row r="9" ht="33.75" customHeight="1">
      <c r="A9" s="1"/>
      <c r="B9" s="14"/>
      <c r="H9" s="14"/>
      <c r="I9" s="5"/>
    </row>
    <row r="10">
      <c r="A10" s="1"/>
      <c r="B10" s="5"/>
      <c r="C10" s="5"/>
      <c r="D10" s="5"/>
      <c r="E10" s="5"/>
      <c r="F10" s="5"/>
      <c r="G10" s="5"/>
      <c r="H10" s="5"/>
      <c r="I10" s="5"/>
    </row>
    <row r="11">
      <c r="A11" s="1"/>
      <c r="B11" s="7" t="s">
        <v>5</v>
      </c>
      <c r="I11" s="5"/>
    </row>
    <row r="12">
      <c r="A12" s="1"/>
      <c r="B12" s="5"/>
      <c r="C12" s="5"/>
      <c r="D12" s="5"/>
      <c r="E12" s="5"/>
      <c r="F12" s="5"/>
      <c r="G12" s="5"/>
      <c r="H12" s="5"/>
      <c r="I12" s="5"/>
    </row>
    <row r="13">
      <c r="A13" s="1"/>
      <c r="B13" s="15">
        <v>1.0</v>
      </c>
      <c r="C13" s="16" t="s">
        <v>6</v>
      </c>
      <c r="D13" s="17"/>
      <c r="E13" s="17"/>
      <c r="F13" s="17"/>
      <c r="G13" s="17"/>
      <c r="H13" s="15"/>
      <c r="I13" s="5"/>
    </row>
    <row r="14">
      <c r="A14" s="1"/>
      <c r="B14" s="15">
        <v>2.0</v>
      </c>
      <c r="C14" s="18" t="s">
        <v>7</v>
      </c>
      <c r="D14" s="17"/>
      <c r="E14" s="17"/>
      <c r="F14" s="17"/>
      <c r="G14" s="17"/>
      <c r="H14" s="15"/>
      <c r="I14" s="5"/>
    </row>
    <row r="15">
      <c r="A15" s="1"/>
      <c r="B15" s="15">
        <v>3.0</v>
      </c>
      <c r="C15" s="16" t="s">
        <v>8</v>
      </c>
      <c r="D15" s="17"/>
      <c r="E15" s="17"/>
      <c r="F15" s="17"/>
      <c r="G15" s="17"/>
      <c r="H15" s="15"/>
      <c r="I15" s="5"/>
    </row>
    <row r="16">
      <c r="A16" s="1"/>
      <c r="B16" s="15">
        <v>4.0</v>
      </c>
      <c r="C16" s="16" t="s">
        <v>9</v>
      </c>
      <c r="D16" s="17"/>
      <c r="E16" s="17"/>
      <c r="F16" s="17"/>
      <c r="G16" s="17"/>
      <c r="H16" s="15"/>
      <c r="I16" s="5"/>
    </row>
    <row r="17">
      <c r="A17" s="1"/>
      <c r="B17" s="15">
        <v>5.0</v>
      </c>
      <c r="C17" s="16" t="s">
        <v>10</v>
      </c>
      <c r="D17" s="17"/>
      <c r="E17" s="17"/>
      <c r="F17" s="17"/>
      <c r="G17" s="17"/>
      <c r="H17" s="15"/>
      <c r="I17" s="5"/>
    </row>
    <row r="18">
      <c r="A18" s="1"/>
      <c r="B18" s="15">
        <v>6.0</v>
      </c>
      <c r="C18" s="17" t="s">
        <v>11</v>
      </c>
      <c r="D18" s="15"/>
      <c r="E18" s="15"/>
      <c r="F18" s="15"/>
      <c r="G18" s="15"/>
      <c r="H18" s="15"/>
      <c r="I18" s="5"/>
    </row>
    <row r="19">
      <c r="A19" s="1"/>
      <c r="B19" s="15">
        <v>7.0</v>
      </c>
      <c r="C19" s="17" t="s">
        <v>12</v>
      </c>
      <c r="D19" s="15"/>
      <c r="E19" s="15"/>
      <c r="F19" s="15"/>
      <c r="G19" s="15"/>
      <c r="H19" s="15"/>
      <c r="I19" s="5"/>
    </row>
    <row r="20">
      <c r="A20" s="1"/>
      <c r="B20" s="5"/>
      <c r="C20" s="5"/>
      <c r="D20" s="5"/>
      <c r="E20" s="5"/>
      <c r="F20" s="5"/>
      <c r="G20" s="5"/>
      <c r="H20" s="5"/>
      <c r="I20" s="5"/>
    </row>
    <row r="21">
      <c r="A21" s="19"/>
      <c r="B21" s="6"/>
      <c r="C21" s="20" t="s">
        <v>13</v>
      </c>
      <c r="D21" s="21"/>
      <c r="E21" s="21"/>
      <c r="F21" s="21"/>
      <c r="G21" s="22"/>
      <c r="H21" s="6"/>
      <c r="I21" s="6"/>
    </row>
    <row r="22">
      <c r="A22" s="1"/>
      <c r="B22" s="5"/>
      <c r="C22" s="5"/>
      <c r="D22" s="5"/>
      <c r="E22" s="5"/>
      <c r="F22" s="5"/>
      <c r="G22" s="5"/>
      <c r="H22" s="5"/>
      <c r="I22" s="5"/>
    </row>
    <row r="23">
      <c r="A23" s="1"/>
      <c r="B23" s="5"/>
      <c r="C23" s="23" t="s">
        <v>14</v>
      </c>
      <c r="H23" s="5"/>
      <c r="I23" s="5"/>
    </row>
    <row r="24">
      <c r="A24" s="1"/>
      <c r="B24" s="5"/>
      <c r="C24" s="24" t="s">
        <v>15</v>
      </c>
      <c r="H24" s="5"/>
      <c r="I24" s="5"/>
    </row>
    <row r="25">
      <c r="A25" s="1"/>
      <c r="B25" s="5"/>
      <c r="C25" s="25" t="s">
        <v>16</v>
      </c>
      <c r="H25" s="26"/>
      <c r="I25" s="26"/>
    </row>
    <row r="26">
      <c r="A26" s="1"/>
      <c r="B26" s="5"/>
      <c r="C26" s="5"/>
      <c r="D26" s="5"/>
      <c r="E26" s="5"/>
      <c r="F26" s="5"/>
      <c r="G26" s="5"/>
      <c r="H26" s="26" t="s">
        <v>17</v>
      </c>
    </row>
  </sheetData>
  <mergeCells count="11">
    <mergeCell ref="C23:G23"/>
    <mergeCell ref="C24:G24"/>
    <mergeCell ref="C25:G25"/>
    <mergeCell ref="H26:I26"/>
    <mergeCell ref="B2:H2"/>
    <mergeCell ref="B4:H4"/>
    <mergeCell ref="C6:G6"/>
    <mergeCell ref="C7:G7"/>
    <mergeCell ref="C8:G9"/>
    <mergeCell ref="B11:H11"/>
    <mergeCell ref="C21:G21"/>
  </mergeCells>
  <hyperlinks>
    <hyperlink r:id="rId1" ref="C21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86"/>
    <col customWidth="1" min="2" max="2" width="39.86"/>
    <col customWidth="1" min="3" max="4" width="11.29"/>
    <col customWidth="1" min="5" max="5" width="18.71"/>
    <col customWidth="1" min="6" max="6" width="16.71"/>
    <col customWidth="1" min="7" max="7" width="16.0"/>
    <col customWidth="1" min="8" max="8" width="59.71"/>
  </cols>
  <sheetData>
    <row r="1" ht="15.75" customHeight="1">
      <c r="A1" s="27" t="s">
        <v>18</v>
      </c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29" t="s">
        <v>20</v>
      </c>
      <c r="B2" s="30" t="s">
        <v>21</v>
      </c>
      <c r="C2" s="31" t="s">
        <v>22</v>
      </c>
      <c r="D2" s="31" t="s">
        <v>23</v>
      </c>
      <c r="E2" s="31" t="s">
        <v>24</v>
      </c>
      <c r="F2" s="31" t="s">
        <v>25</v>
      </c>
      <c r="G2" s="31" t="s">
        <v>26</v>
      </c>
      <c r="H2" s="32" t="s">
        <v>27</v>
      </c>
    </row>
    <row r="3">
      <c r="A3" s="33" t="s">
        <v>28</v>
      </c>
      <c r="B3" s="34" t="s">
        <v>29</v>
      </c>
      <c r="C3" s="35">
        <v>32978.0</v>
      </c>
      <c r="D3" s="35">
        <v>33565.0</v>
      </c>
      <c r="E3" s="36">
        <f t="shared" ref="E3:E23" si="1">IF(G3="x",C3,0)</f>
        <v>32978</v>
      </c>
      <c r="F3" s="36">
        <f t="shared" ref="F3:F23" si="2">IF(G3="x",D3,0)</f>
        <v>33565</v>
      </c>
      <c r="G3" s="37" t="s">
        <v>30</v>
      </c>
      <c r="H3" s="38" t="s">
        <v>31</v>
      </c>
    </row>
    <row r="4">
      <c r="A4" s="39" t="s">
        <v>32</v>
      </c>
      <c r="B4" s="40" t="s">
        <v>33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45"/>
    </row>
    <row r="5">
      <c r="A5" s="39" t="s">
        <v>34</v>
      </c>
      <c r="B5" s="40" t="s">
        <v>35</v>
      </c>
      <c r="C5" s="41">
        <v>1800.0</v>
      </c>
      <c r="D5" s="42">
        <v>2000.0</v>
      </c>
      <c r="E5" s="43">
        <f t="shared" si="1"/>
        <v>0</v>
      </c>
      <c r="F5" s="43">
        <f t="shared" si="2"/>
        <v>0</v>
      </c>
      <c r="G5" s="44"/>
      <c r="H5" s="45"/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/>
    </row>
    <row r="7">
      <c r="A7" s="39" t="s">
        <v>38</v>
      </c>
      <c r="B7" s="40" t="s">
        <v>39</v>
      </c>
      <c r="C7" s="41">
        <v>149.0</v>
      </c>
      <c r="D7" s="41">
        <v>165.0</v>
      </c>
      <c r="E7" s="43">
        <f t="shared" si="1"/>
        <v>0</v>
      </c>
      <c r="F7" s="43">
        <f t="shared" si="2"/>
        <v>0</v>
      </c>
      <c r="G7" s="44"/>
      <c r="H7" s="48"/>
    </row>
    <row r="8">
      <c r="A8" s="39" t="s">
        <v>40</v>
      </c>
      <c r="B8" s="40" t="s">
        <v>41</v>
      </c>
      <c r="C8" s="49">
        <f>if(or(G6="x",G14="x"),0,536)</f>
        <v>536</v>
      </c>
      <c r="D8" s="50">
        <f>if(or(G6="x",G14="x"),0,595)</f>
        <v>595</v>
      </c>
      <c r="E8" s="43">
        <f t="shared" si="1"/>
        <v>0</v>
      </c>
      <c r="F8" s="43">
        <f t="shared" si="2"/>
        <v>0</v>
      </c>
      <c r="G8" s="44"/>
      <c r="H8" s="51" t="str">
        <f>if(or(G14="x",G6="x"),"Trac-Lok (DSA) included with Max Tow (AJQ)[F12] or V6 Turbo Diesel (EXJ) [F5]","")</f>
        <v/>
      </c>
    </row>
    <row r="9">
      <c r="A9" s="39" t="s">
        <v>42</v>
      </c>
      <c r="B9" s="40" t="s">
        <v>43</v>
      </c>
      <c r="C9" s="41">
        <v>266.0</v>
      </c>
      <c r="D9" s="42">
        <v>295.0</v>
      </c>
      <c r="E9" s="43">
        <f t="shared" si="1"/>
        <v>0</v>
      </c>
      <c r="F9" s="43">
        <f t="shared" si="2"/>
        <v>0</v>
      </c>
      <c r="G9" s="44"/>
      <c r="H9" s="48"/>
    </row>
    <row r="10">
      <c r="A10" s="39" t="s">
        <v>44</v>
      </c>
      <c r="B10" s="40" t="s">
        <v>45</v>
      </c>
      <c r="C10" s="41">
        <v>1256.0</v>
      </c>
      <c r="D10" s="41">
        <v>1395.0</v>
      </c>
      <c r="E10" s="43">
        <f t="shared" si="1"/>
        <v>0</v>
      </c>
      <c r="F10" s="43">
        <f t="shared" si="2"/>
        <v>0</v>
      </c>
      <c r="G10" s="44"/>
      <c r="H10" s="48"/>
    </row>
    <row r="11">
      <c r="A11" s="39" t="s">
        <v>46</v>
      </c>
      <c r="B11" s="40" t="s">
        <v>47</v>
      </c>
      <c r="C11" s="41">
        <v>446.0</v>
      </c>
      <c r="D11" s="42">
        <v>495.0</v>
      </c>
      <c r="E11" s="43">
        <f t="shared" si="1"/>
        <v>0</v>
      </c>
      <c r="F11" s="43">
        <f t="shared" si="2"/>
        <v>0</v>
      </c>
      <c r="G11" s="44"/>
      <c r="H11" s="48"/>
    </row>
    <row r="12">
      <c r="A12" s="39" t="s">
        <v>48</v>
      </c>
      <c r="B12" s="40" t="s">
        <v>49</v>
      </c>
      <c r="C12" s="41">
        <v>86.0</v>
      </c>
      <c r="D12" s="42">
        <v>95.0</v>
      </c>
      <c r="E12" s="43">
        <f t="shared" si="1"/>
        <v>0</v>
      </c>
      <c r="F12" s="43">
        <f t="shared" si="2"/>
        <v>0</v>
      </c>
      <c r="G12" s="44"/>
      <c r="H12" s="48"/>
    </row>
    <row r="13">
      <c r="A13" s="39" t="s">
        <v>50</v>
      </c>
      <c r="B13" s="40" t="s">
        <v>51</v>
      </c>
      <c r="C13" s="41">
        <v>180.0</v>
      </c>
      <c r="D13" s="41">
        <v>200.0</v>
      </c>
      <c r="E13" s="43">
        <f t="shared" si="1"/>
        <v>0</v>
      </c>
      <c r="F13" s="43">
        <f t="shared" si="2"/>
        <v>0</v>
      </c>
      <c r="G13" s="44"/>
      <c r="H13" s="52"/>
    </row>
    <row r="14">
      <c r="A14" s="39" t="s">
        <v>52</v>
      </c>
      <c r="B14" s="40" t="s">
        <v>53</v>
      </c>
      <c r="C14" s="41">
        <v>1120.0</v>
      </c>
      <c r="D14" s="41">
        <v>1245.0</v>
      </c>
      <c r="E14" s="43">
        <f t="shared" si="1"/>
        <v>0</v>
      </c>
      <c r="F14" s="43">
        <f t="shared" si="2"/>
        <v>0</v>
      </c>
      <c r="G14" s="44"/>
      <c r="H14" s="52" t="str">
        <f>if(and(G14="x",G4=""),"Requires (DFT) Automatic Transmission [G4]","")</f>
        <v/>
      </c>
    </row>
    <row r="15">
      <c r="A15" s="39" t="s">
        <v>54</v>
      </c>
      <c r="B15" s="40" t="s">
        <v>55</v>
      </c>
      <c r="C15" s="41">
        <v>536.0</v>
      </c>
      <c r="D15" s="41">
        <v>595.0</v>
      </c>
      <c r="E15" s="43">
        <f t="shared" si="1"/>
        <v>0</v>
      </c>
      <c r="F15" s="43">
        <f t="shared" si="2"/>
        <v>0</v>
      </c>
      <c r="G15" s="44"/>
      <c r="H15" s="52" t="str">
        <f>if(G22="x","N/A with Mopar Soft Tri-fold (CT6) [F15]","")</f>
        <v/>
      </c>
    </row>
    <row r="16">
      <c r="A16" s="39" t="s">
        <v>56</v>
      </c>
      <c r="B16" s="40" t="s">
        <v>57</v>
      </c>
      <c r="C16" s="41">
        <v>266.0</v>
      </c>
      <c r="D16" s="42">
        <v>295.0</v>
      </c>
      <c r="E16" s="43">
        <f t="shared" si="1"/>
        <v>0</v>
      </c>
      <c r="F16" s="43">
        <f t="shared" si="2"/>
        <v>0</v>
      </c>
      <c r="G16" s="44"/>
      <c r="H16" s="48"/>
    </row>
    <row r="17">
      <c r="A17" s="39" t="s">
        <v>58</v>
      </c>
      <c r="B17" s="40" t="s">
        <v>59</v>
      </c>
      <c r="C17" s="42">
        <v>27.0</v>
      </c>
      <c r="D17" s="42">
        <v>30.0</v>
      </c>
      <c r="E17" s="43">
        <f t="shared" si="1"/>
        <v>0</v>
      </c>
      <c r="F17" s="43">
        <f t="shared" si="2"/>
        <v>0</v>
      </c>
      <c r="G17" s="44"/>
      <c r="H17" s="48"/>
    </row>
    <row r="18">
      <c r="A18" s="39" t="s">
        <v>60</v>
      </c>
      <c r="B18" s="40" t="s">
        <v>61</v>
      </c>
      <c r="C18" s="41">
        <v>68.0</v>
      </c>
      <c r="D18" s="41">
        <v>75.0</v>
      </c>
      <c r="E18" s="43">
        <f t="shared" si="1"/>
        <v>0</v>
      </c>
      <c r="F18" s="43">
        <f t="shared" si="2"/>
        <v>0</v>
      </c>
      <c r="G18" s="44"/>
      <c r="H18" s="48"/>
    </row>
    <row r="19">
      <c r="A19" s="39" t="s">
        <v>62</v>
      </c>
      <c r="B19" s="40" t="s">
        <v>63</v>
      </c>
      <c r="C19" s="41">
        <v>446.0</v>
      </c>
      <c r="D19" s="42">
        <v>495.0</v>
      </c>
      <c r="E19" s="43">
        <f t="shared" si="1"/>
        <v>0</v>
      </c>
      <c r="F19" s="43">
        <f t="shared" si="2"/>
        <v>0</v>
      </c>
      <c r="G19" s="44"/>
      <c r="H19" s="48"/>
    </row>
    <row r="20">
      <c r="A20" s="39" t="s">
        <v>64</v>
      </c>
      <c r="B20" s="40" t="s">
        <v>65</v>
      </c>
      <c r="C20" s="49">
        <f>if(G14="x",0,316)</f>
        <v>316</v>
      </c>
      <c r="D20" s="49">
        <f>if(G14="x",0,350)</f>
        <v>350</v>
      </c>
      <c r="E20" s="43">
        <f t="shared" si="1"/>
        <v>0</v>
      </c>
      <c r="F20" s="43">
        <f t="shared" si="2"/>
        <v>0</v>
      </c>
      <c r="G20" s="44"/>
      <c r="H20" s="48" t="str">
        <f>if(and(G20="x",G14="x"),"Included with Max Tow Package (AJQ)","")</f>
        <v/>
      </c>
    </row>
    <row r="21">
      <c r="A21" s="39" t="s">
        <v>66</v>
      </c>
      <c r="B21" s="40" t="s">
        <v>67</v>
      </c>
      <c r="C21" s="53">
        <v>896.0</v>
      </c>
      <c r="D21" s="53">
        <v>995.0</v>
      </c>
      <c r="E21" s="43">
        <f t="shared" si="1"/>
        <v>0</v>
      </c>
      <c r="F21" s="43">
        <f t="shared" si="2"/>
        <v>0</v>
      </c>
      <c r="G21" s="44"/>
      <c r="H21" s="52" t="str">
        <f>if(or(G15="x",G22="x"),"N/A with Roll-Up Tonneau (CSD) [F13] or Mopar Soft Tri-fold (CT6) [F20]","")</f>
        <v/>
      </c>
    </row>
    <row r="22">
      <c r="A22" s="39" t="s">
        <v>68</v>
      </c>
      <c r="B22" s="40" t="s">
        <v>69</v>
      </c>
      <c r="C22" s="53">
        <v>563.0</v>
      </c>
      <c r="D22" s="53">
        <v>625.0</v>
      </c>
      <c r="E22" s="43">
        <f t="shared" si="1"/>
        <v>0</v>
      </c>
      <c r="F22" s="43">
        <f t="shared" si="2"/>
        <v>0</v>
      </c>
      <c r="G22" s="54"/>
      <c r="H22" s="48" t="str">
        <f>if(or(G15="x",G21="x"),"N/A with Roll-Up Tonneau (CSD) [F13] or Mopar Hard Tri-fold (CSU) [F19]","")</f>
        <v/>
      </c>
    </row>
    <row r="23">
      <c r="A23" s="39"/>
      <c r="B23" s="40" t="s">
        <v>70</v>
      </c>
      <c r="C23" s="41">
        <v>220.0</v>
      </c>
      <c r="D23" s="41">
        <v>245.0</v>
      </c>
      <c r="E23" s="43">
        <f t="shared" si="1"/>
        <v>0</v>
      </c>
      <c r="F23" s="55">
        <f t="shared" si="2"/>
        <v>0</v>
      </c>
      <c r="G23" s="56"/>
      <c r="H23" s="57" t="s">
        <v>71</v>
      </c>
    </row>
    <row r="24">
      <c r="A24" s="58"/>
      <c r="B24" s="59" t="str">
        <f>'Mopar Add-Ons'!B24</f>
        <v>Total Mopar Add-On Cost</v>
      </c>
      <c r="C24" s="60"/>
      <c r="D24" s="60"/>
      <c r="E24" s="61">
        <f>'Mopar Add-Ons'!E24</f>
        <v>0</v>
      </c>
      <c r="F24" s="62">
        <f>'Mopar Add-Ons'!F24</f>
        <v>0</v>
      </c>
      <c r="G24" s="63"/>
      <c r="H24" s="64" t="str">
        <f>'Mopar Add-Ons'!H24</f>
        <v>Price pulled from sheet "Mopar Add-Ons"</v>
      </c>
    </row>
    <row r="25">
      <c r="A25" s="65"/>
      <c r="B25" s="66" t="s">
        <v>72</v>
      </c>
      <c r="C25" s="67"/>
      <c r="D25" s="67"/>
      <c r="E25" s="68">
        <f t="shared" ref="E25:F25" si="3">SUM(E3:E24)</f>
        <v>32978</v>
      </c>
      <c r="F25" s="69">
        <f t="shared" si="3"/>
        <v>33565</v>
      </c>
      <c r="G25" s="70"/>
      <c r="H25" s="71"/>
    </row>
    <row r="26">
      <c r="A26" s="72"/>
      <c r="B26" s="73" t="s">
        <v>73</v>
      </c>
      <c r="C26" s="74"/>
      <c r="D26" s="74"/>
      <c r="E26" s="75"/>
      <c r="F26" s="76">
        <f>F25+D32</f>
        <v>35060</v>
      </c>
      <c r="G26" s="77"/>
      <c r="H26" s="48"/>
    </row>
    <row r="27">
      <c r="A27" s="72"/>
      <c r="B27" s="72"/>
      <c r="C27" s="72"/>
      <c r="D27" s="72"/>
      <c r="E27" s="72"/>
      <c r="F27" s="77"/>
      <c r="G27" s="77"/>
      <c r="H27" s="48"/>
    </row>
    <row r="28" ht="15.0" customHeight="1">
      <c r="A28" s="78"/>
      <c r="B28" s="79" t="s">
        <v>23</v>
      </c>
      <c r="C28" s="80"/>
      <c r="D28" s="80">
        <f>F25</f>
        <v>33565</v>
      </c>
      <c r="E28" s="44"/>
      <c r="F28" s="81" t="s">
        <v>74</v>
      </c>
      <c r="G28" s="82"/>
      <c r="H28" s="83"/>
    </row>
    <row r="29" ht="15.0" customHeight="1">
      <c r="A29" s="78"/>
      <c r="B29" s="79" t="s">
        <v>22</v>
      </c>
      <c r="C29" s="80"/>
      <c r="D29" s="80">
        <f>E25</f>
        <v>32978</v>
      </c>
      <c r="E29" s="44"/>
      <c r="G29" s="84"/>
      <c r="H29" s="83"/>
    </row>
    <row r="30" ht="15.75" customHeight="1">
      <c r="A30" s="78"/>
      <c r="B30" s="79" t="s">
        <v>75</v>
      </c>
      <c r="C30" s="85">
        <v>0.03</v>
      </c>
      <c r="D30" s="80">
        <f>E25*(1-C30)</f>
        <v>31988.66</v>
      </c>
      <c r="E30" s="44"/>
      <c r="G30" s="84"/>
      <c r="H30" s="83"/>
    </row>
    <row r="31" ht="15.75" customHeight="1">
      <c r="A31" s="86"/>
      <c r="B31" s="87" t="s">
        <v>18</v>
      </c>
      <c r="C31" s="88"/>
      <c r="D31" s="89"/>
      <c r="E31" s="89"/>
      <c r="F31" s="90"/>
      <c r="G31" s="91"/>
      <c r="H31" s="83"/>
    </row>
    <row r="32" ht="15.75" customHeight="1">
      <c r="A32" s="86"/>
      <c r="B32" s="92" t="s">
        <v>76</v>
      </c>
      <c r="C32" s="93"/>
      <c r="D32" s="93">
        <v>1495.0</v>
      </c>
      <c r="E32" s="94">
        <f>(((SUM(((IF(E28="x",D28,0))+IF(E29="x",D29,0))+IF(E30="x",D30,0))+(IF(E31="x",D31,0))))+D32)</f>
        <v>1495</v>
      </c>
      <c r="F32" s="95"/>
      <c r="G32" s="96"/>
      <c r="H32" s="48"/>
    </row>
    <row r="33" ht="15.75" customHeight="1">
      <c r="A33" s="86"/>
      <c r="B33" s="97" t="s">
        <v>77</v>
      </c>
      <c r="C33" s="98"/>
      <c r="D33" s="98"/>
      <c r="E33" s="99"/>
      <c r="F33" s="100" t="s">
        <v>78</v>
      </c>
      <c r="G33" s="101"/>
      <c r="H33" s="83"/>
    </row>
    <row r="34" ht="15.75" customHeight="1">
      <c r="A34" s="86"/>
      <c r="B34" s="97" t="s">
        <v>79</v>
      </c>
      <c r="C34" s="98"/>
      <c r="D34" s="98"/>
      <c r="E34" s="99"/>
      <c r="F34" s="100" t="s">
        <v>80</v>
      </c>
      <c r="G34" s="101"/>
      <c r="H34" s="83"/>
    </row>
    <row r="35" ht="15.75" customHeight="1">
      <c r="A35" s="86"/>
      <c r="B35" s="97" t="s">
        <v>81</v>
      </c>
      <c r="C35" s="102"/>
      <c r="D35" s="102"/>
      <c r="E35" s="103"/>
      <c r="F35" s="100" t="s">
        <v>82</v>
      </c>
      <c r="G35" s="101"/>
      <c r="H35" s="83"/>
    </row>
    <row r="36" ht="15.75" customHeight="1">
      <c r="A36" s="86"/>
      <c r="B36" s="97" t="s">
        <v>83</v>
      </c>
      <c r="C36" s="102"/>
      <c r="D36" s="102"/>
      <c r="E36" s="103"/>
      <c r="F36" s="100" t="s">
        <v>84</v>
      </c>
      <c r="G36" s="101"/>
      <c r="H36" s="83"/>
    </row>
    <row r="37" ht="15.75" customHeight="1">
      <c r="A37" s="86"/>
      <c r="B37" s="104" t="s">
        <v>85</v>
      </c>
      <c r="C37" s="105"/>
      <c r="D37" s="106">
        <v>0.085</v>
      </c>
      <c r="E37" s="107">
        <f>(E32-E33+E35+E36)*D37</f>
        <v>127.075</v>
      </c>
      <c r="F37" s="100" t="s">
        <v>86</v>
      </c>
      <c r="G37" s="101"/>
      <c r="H37" s="108"/>
    </row>
    <row r="38" ht="15.75" customHeight="1">
      <c r="A38" s="109"/>
      <c r="B38" s="110" t="s">
        <v>87</v>
      </c>
      <c r="C38" s="111"/>
      <c r="D38" s="111"/>
      <c r="E38" s="111">
        <f>sum(E32-E33-E34+E35+E36+E37)</f>
        <v>1622.075</v>
      </c>
      <c r="F38" s="96"/>
      <c r="G38" s="112"/>
      <c r="H38" s="113"/>
    </row>
    <row r="39" ht="15.75" customHeight="1">
      <c r="A39" s="114"/>
      <c r="B39" s="115"/>
      <c r="C39" s="113"/>
      <c r="D39" s="113"/>
      <c r="E39" s="113"/>
      <c r="F39" s="116"/>
      <c r="G39" s="116"/>
      <c r="H39" s="115"/>
    </row>
    <row r="40" ht="15.75" customHeight="1">
      <c r="A40" s="109"/>
      <c r="B40" s="117"/>
      <c r="C40" s="118" t="s">
        <v>88</v>
      </c>
      <c r="D40" s="118"/>
      <c r="E40" s="113"/>
      <c r="F40" s="116"/>
      <c r="G40" s="116"/>
      <c r="H40" s="115"/>
    </row>
    <row r="41" ht="15.75" customHeight="1">
      <c r="A41" s="119"/>
      <c r="B41" s="83"/>
      <c r="C41" s="120" t="s">
        <v>89</v>
      </c>
      <c r="D41" s="121"/>
      <c r="E41" s="55">
        <f>E38</f>
        <v>1622.075</v>
      </c>
      <c r="F41" s="122" t="s">
        <v>90</v>
      </c>
      <c r="G41" s="101"/>
      <c r="H41" s="77"/>
    </row>
    <row r="42" ht="15.75" customHeight="1">
      <c r="A42" s="119"/>
      <c r="B42" s="83"/>
      <c r="C42" s="120" t="s">
        <v>91</v>
      </c>
      <c r="D42" s="121"/>
      <c r="E42" s="123">
        <v>0.049</v>
      </c>
      <c r="F42" s="124" t="s">
        <v>92</v>
      </c>
      <c r="G42" s="125"/>
      <c r="H42" s="77"/>
    </row>
    <row r="43" ht="15.75" customHeight="1">
      <c r="A43" s="119"/>
      <c r="B43" s="83"/>
      <c r="C43" s="126" t="s">
        <v>93</v>
      </c>
      <c r="D43" s="127"/>
      <c r="E43" s="128">
        <v>72.0</v>
      </c>
      <c r="F43" s="129" t="s">
        <v>94</v>
      </c>
      <c r="G43" s="130"/>
      <c r="H43" s="77"/>
    </row>
    <row r="44" ht="15.75" customHeight="1">
      <c r="A44" s="114"/>
      <c r="B44" s="115"/>
      <c r="C44" s="112" t="s">
        <v>95</v>
      </c>
      <c r="D44" s="112"/>
      <c r="E44" s="131">
        <f>PMT(E42/12,E43,-E41)</f>
        <v>26.0482338</v>
      </c>
      <c r="F44" s="77"/>
      <c r="G44" s="131"/>
      <c r="H44" s="115"/>
    </row>
    <row r="45" ht="15.75" customHeight="1">
      <c r="A45" s="114"/>
      <c r="B45" s="115"/>
      <c r="C45" s="115"/>
      <c r="D45" s="115"/>
      <c r="E45" s="115"/>
      <c r="F45" s="115"/>
      <c r="G45" s="115"/>
      <c r="H45" s="132"/>
    </row>
    <row r="46" ht="15.75" customHeight="1">
      <c r="A46" s="114"/>
      <c r="B46" s="115"/>
      <c r="C46" s="115"/>
      <c r="D46" s="115"/>
      <c r="E46" s="115"/>
      <c r="F46" s="115"/>
      <c r="G46" s="115"/>
      <c r="H46" s="132" t="s">
        <v>96</v>
      </c>
    </row>
    <row r="47" ht="15.75" customHeight="1">
      <c r="A47" s="114"/>
      <c r="B47" s="115"/>
      <c r="C47" s="115"/>
      <c r="D47" s="115"/>
      <c r="E47" s="115"/>
      <c r="F47" s="115"/>
      <c r="G47" s="115"/>
      <c r="H47" s="115"/>
    </row>
  </sheetData>
  <mergeCells count="1">
    <mergeCell ref="F28:G31"/>
  </mergeCells>
  <conditionalFormatting sqref="C21:D22">
    <cfRule type="cellIs" dxfId="0" priority="1" operator="equal">
      <formula>0</formula>
    </cfRule>
  </conditionalFormatting>
  <conditionalFormatting sqref="E4:F24">
    <cfRule type="cellIs" dxfId="1" priority="2" operator="equal">
      <formula>0</formula>
    </cfRule>
  </conditionalFormatting>
  <conditionalFormatting sqref="G20">
    <cfRule type="expression" dxfId="2" priority="3">
      <formula>and(G14="x",G20="")</formula>
    </cfRule>
  </conditionalFormatting>
  <conditionalFormatting sqref="C20">
    <cfRule type="expression" dxfId="0" priority="4">
      <formula>G14="x"</formula>
    </cfRule>
  </conditionalFormatting>
  <conditionalFormatting sqref="D20">
    <cfRule type="expression" dxfId="0" priority="5">
      <formula>G14="x"</formula>
    </cfRule>
  </conditionalFormatting>
  <conditionalFormatting sqref="C8">
    <cfRule type="expression" dxfId="0" priority="6">
      <formula>G14="x"</formula>
    </cfRule>
  </conditionalFormatting>
  <conditionalFormatting sqref="D8">
    <cfRule type="expression" dxfId="0" priority="7">
      <formula>G14="x"</formula>
    </cfRule>
  </conditionalFormatting>
  <conditionalFormatting sqref="G8">
    <cfRule type="expression" dxfId="2" priority="8">
      <formula>and(G8="",G14="x")</formula>
    </cfRule>
  </conditionalFormatting>
  <conditionalFormatting sqref="G8">
    <cfRule type="expression" dxfId="2" priority="9">
      <formula>and(G8="",G6="x")</formula>
    </cfRule>
  </conditionalFormatting>
  <conditionalFormatting sqref="G5">
    <cfRule type="expression" dxfId="3" priority="10">
      <formula>and(G4="x",G5="x")</formula>
    </cfRule>
  </conditionalFormatting>
  <conditionalFormatting sqref="G6">
    <cfRule type="expression" dxfId="3" priority="11">
      <formula>and(G4="x",G6="x")</formula>
    </cfRule>
  </conditionalFormatting>
  <conditionalFormatting sqref="G4">
    <cfRule type="expression" dxfId="3" priority="12">
      <formula>and(G4="x",G5="x")</formula>
    </cfRule>
  </conditionalFormatting>
  <conditionalFormatting sqref="G6">
    <cfRule type="expression" dxfId="3" priority="13">
      <formula>and(G5="x",G6="")</formula>
    </cfRule>
  </conditionalFormatting>
  <conditionalFormatting sqref="G5">
    <cfRule type="expression" dxfId="3" priority="14">
      <formula>and(G6="x",G5="")</formula>
    </cfRule>
  </conditionalFormatting>
  <conditionalFormatting sqref="G4">
    <cfRule type="expression" dxfId="4" priority="15">
      <formula>and(G4="",G14="x")</formula>
    </cfRule>
  </conditionalFormatting>
  <conditionalFormatting sqref="H4:H24">
    <cfRule type="containsText" dxfId="0" priority="16" operator="containsText" text="Include">
      <formula>NOT(ISERROR(SEARCH(("Include"),(H4))))</formula>
    </cfRule>
  </conditionalFormatting>
  <conditionalFormatting sqref="H4:H24">
    <cfRule type="containsText" dxfId="5" priority="17" operator="containsText" text="N/A">
      <formula>NOT(ISERROR(SEARCH(("N/A"),(H4))))</formula>
    </cfRule>
  </conditionalFormatting>
  <conditionalFormatting sqref="H4:H24">
    <cfRule type="containsText" dxfId="5" priority="18" operator="containsText" text="Only">
      <formula>NOT(ISERROR(SEARCH(("Only"),(H4))))</formula>
    </cfRule>
  </conditionalFormatting>
  <conditionalFormatting sqref="H4:H24">
    <cfRule type="containsText" dxfId="6" priority="19" operator="containsText" text="Reduce">
      <formula>NOT(ISERROR(SEARCH(("Reduce"),(H4))))</formula>
    </cfRule>
  </conditionalFormatting>
  <conditionalFormatting sqref="H4:H24">
    <cfRule type="containsText" dxfId="5" priority="20" operator="containsText" text="Require">
      <formula>NOT(ISERROR(SEARCH(("Require"),(H4))))</formula>
    </cfRule>
  </conditionalFormatting>
  <conditionalFormatting sqref="B6">
    <cfRule type="expression" dxfId="7" priority="21">
      <formula>G4="X"</formula>
    </cfRule>
  </conditionalFormatting>
  <conditionalFormatting sqref="B5">
    <cfRule type="expression" dxfId="7" priority="22">
      <formula>G4="X"</formula>
    </cfRule>
  </conditionalFormatting>
  <conditionalFormatting sqref="C5">
    <cfRule type="expression" dxfId="7" priority="23">
      <formula>G4="X"</formula>
    </cfRule>
  </conditionalFormatting>
  <conditionalFormatting sqref="D5">
    <cfRule type="expression" dxfId="7" priority="24">
      <formula>G4="X"</formula>
    </cfRule>
  </conditionalFormatting>
  <conditionalFormatting sqref="A5">
    <cfRule type="expression" dxfId="7" priority="25">
      <formula>G4="X"</formula>
    </cfRule>
  </conditionalFormatting>
  <conditionalFormatting sqref="A6">
    <cfRule type="expression" dxfId="7" priority="26">
      <formula>G4="X"</formula>
    </cfRule>
  </conditionalFormatting>
  <conditionalFormatting sqref="C6">
    <cfRule type="expression" dxfId="7" priority="27">
      <formula>G4="X"</formula>
    </cfRule>
  </conditionalFormatting>
  <conditionalFormatting sqref="D6">
    <cfRule type="expression" dxfId="7" priority="28">
      <formula>G4="X"</formula>
    </cfRule>
  </conditionalFormatting>
  <conditionalFormatting sqref="B4:B24">
    <cfRule type="expression" dxfId="8" priority="29">
      <formula>G4:G24="x"</formula>
    </cfRule>
  </conditionalFormatting>
  <conditionalFormatting sqref="E4:E24">
    <cfRule type="expression" dxfId="8" priority="30">
      <formula>G4:G24="x"</formula>
    </cfRule>
  </conditionalFormatting>
  <conditionalFormatting sqref="F4:F24">
    <cfRule type="expression" dxfId="8" priority="31">
      <formula>G4:G24="x"</formula>
    </cfRule>
  </conditionalFormatting>
  <dataValidations>
    <dataValidation type="list" allowBlank="1" sqref="C30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portrait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86"/>
    <col customWidth="1" min="2" max="2" width="39.86"/>
    <col customWidth="1" min="3" max="4" width="11.29"/>
    <col customWidth="1" min="5" max="5" width="18.71"/>
    <col customWidth="1" min="6" max="6" width="16.71"/>
    <col customWidth="1" min="7" max="7" width="16.0"/>
    <col customWidth="1" min="8" max="8" width="59.71"/>
  </cols>
  <sheetData>
    <row r="1" ht="15.75" customHeight="1">
      <c r="A1" s="27" t="s">
        <v>18</v>
      </c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29" t="s">
        <v>20</v>
      </c>
      <c r="B2" s="30" t="s">
        <v>21</v>
      </c>
      <c r="C2" s="31" t="s">
        <v>22</v>
      </c>
      <c r="D2" s="31" t="s">
        <v>23</v>
      </c>
      <c r="E2" s="31" t="s">
        <v>24</v>
      </c>
      <c r="F2" s="31" t="s">
        <v>25</v>
      </c>
      <c r="G2" s="31" t="s">
        <v>26</v>
      </c>
      <c r="H2" s="133" t="s">
        <v>97</v>
      </c>
    </row>
    <row r="3">
      <c r="A3" s="33" t="s">
        <v>28</v>
      </c>
      <c r="B3" s="38" t="s">
        <v>98</v>
      </c>
      <c r="C3" s="35">
        <v>34508.0</v>
      </c>
      <c r="D3" s="35">
        <v>35265.0</v>
      </c>
      <c r="E3" s="36">
        <f t="shared" ref="E3:E20" si="1">IF(G3="x",C3,0)</f>
        <v>34508</v>
      </c>
      <c r="F3" s="36">
        <f t="shared" ref="F3:F20" si="2">IF(G3="x",D3,0)</f>
        <v>35265</v>
      </c>
      <c r="G3" s="37" t="s">
        <v>30</v>
      </c>
      <c r="H3" s="38" t="s">
        <v>31</v>
      </c>
    </row>
    <row r="4">
      <c r="A4" s="39" t="s">
        <v>32</v>
      </c>
      <c r="B4" s="40" t="s">
        <v>33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45"/>
    </row>
    <row r="5">
      <c r="A5" s="39" t="s">
        <v>34</v>
      </c>
      <c r="B5" s="40" t="s">
        <v>35</v>
      </c>
      <c r="C5" s="41">
        <v>1800.0</v>
      </c>
      <c r="D5" s="42">
        <v>2000.0</v>
      </c>
      <c r="E5" s="43">
        <f t="shared" si="1"/>
        <v>1800</v>
      </c>
      <c r="F5" s="43">
        <f t="shared" si="2"/>
        <v>2000</v>
      </c>
      <c r="G5" s="44" t="s">
        <v>30</v>
      </c>
      <c r="H5" s="45"/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3600</v>
      </c>
      <c r="F6" s="43">
        <f t="shared" si="2"/>
        <v>4000</v>
      </c>
      <c r="G6" s="44" t="s">
        <v>30</v>
      </c>
      <c r="H6" s="47"/>
    </row>
    <row r="7">
      <c r="A7" s="39" t="s">
        <v>38</v>
      </c>
      <c r="B7" s="40" t="s">
        <v>39</v>
      </c>
      <c r="C7" s="41">
        <v>149.0</v>
      </c>
      <c r="D7" s="41">
        <v>165.0</v>
      </c>
      <c r="E7" s="43">
        <f t="shared" si="1"/>
        <v>0</v>
      </c>
      <c r="F7" s="43">
        <f t="shared" si="2"/>
        <v>0</v>
      </c>
      <c r="G7" s="44"/>
      <c r="H7" s="48"/>
    </row>
    <row r="8">
      <c r="A8" s="39" t="s">
        <v>42</v>
      </c>
      <c r="B8" s="40" t="s">
        <v>43</v>
      </c>
      <c r="C8" s="41">
        <v>266.0</v>
      </c>
      <c r="D8" s="42">
        <v>295.0</v>
      </c>
      <c r="E8" s="43">
        <f t="shared" si="1"/>
        <v>266</v>
      </c>
      <c r="F8" s="43">
        <f t="shared" si="2"/>
        <v>295</v>
      </c>
      <c r="G8" s="44" t="s">
        <v>30</v>
      </c>
      <c r="H8" s="48"/>
    </row>
    <row r="9">
      <c r="A9" s="39" t="s">
        <v>44</v>
      </c>
      <c r="B9" s="40" t="s">
        <v>45</v>
      </c>
      <c r="C9" s="41">
        <v>1256.0</v>
      </c>
      <c r="D9" s="41">
        <v>1395.0</v>
      </c>
      <c r="E9" s="43">
        <f t="shared" si="1"/>
        <v>1256</v>
      </c>
      <c r="F9" s="43">
        <f t="shared" si="2"/>
        <v>1395</v>
      </c>
      <c r="G9" s="44" t="s">
        <v>30</v>
      </c>
      <c r="H9" s="48"/>
    </row>
    <row r="10">
      <c r="A10" s="39" t="s">
        <v>48</v>
      </c>
      <c r="B10" s="40" t="s">
        <v>49</v>
      </c>
      <c r="C10" s="41">
        <v>86.0</v>
      </c>
      <c r="D10" s="42">
        <v>95.0</v>
      </c>
      <c r="E10" s="43">
        <f t="shared" si="1"/>
        <v>0</v>
      </c>
      <c r="F10" s="43">
        <f t="shared" si="2"/>
        <v>0</v>
      </c>
      <c r="G10" s="44"/>
      <c r="H10" s="48"/>
    </row>
    <row r="11">
      <c r="A11" s="39" t="s">
        <v>50</v>
      </c>
      <c r="B11" s="40" t="s">
        <v>51</v>
      </c>
      <c r="C11" s="41">
        <v>180.0</v>
      </c>
      <c r="D11" s="41">
        <v>200.0</v>
      </c>
      <c r="E11" s="43">
        <f t="shared" si="1"/>
        <v>0</v>
      </c>
      <c r="F11" s="43">
        <f t="shared" si="2"/>
        <v>0</v>
      </c>
      <c r="G11" s="44"/>
      <c r="H11" s="52"/>
    </row>
    <row r="12">
      <c r="A12" s="39" t="s">
        <v>54</v>
      </c>
      <c r="B12" s="40" t="s">
        <v>55</v>
      </c>
      <c r="C12" s="41">
        <v>536.0</v>
      </c>
      <c r="D12" s="41">
        <v>595.0</v>
      </c>
      <c r="E12" s="43">
        <f t="shared" si="1"/>
        <v>0</v>
      </c>
      <c r="F12" s="43">
        <f t="shared" si="2"/>
        <v>0</v>
      </c>
      <c r="G12" s="44"/>
      <c r="H12" s="52" t="str">
        <f>if(G19="x","N/A with Mopar Soft Tri-fold (CT6) [F15]","")</f>
        <v/>
      </c>
    </row>
    <row r="13">
      <c r="A13" s="39" t="s">
        <v>56</v>
      </c>
      <c r="B13" s="40" t="s">
        <v>57</v>
      </c>
      <c r="C13" s="41">
        <v>266.0</v>
      </c>
      <c r="D13" s="42">
        <v>295.0</v>
      </c>
      <c r="E13" s="43">
        <f t="shared" si="1"/>
        <v>0</v>
      </c>
      <c r="F13" s="43">
        <f t="shared" si="2"/>
        <v>0</v>
      </c>
      <c r="G13" s="44"/>
      <c r="H13" s="48"/>
    </row>
    <row r="14">
      <c r="A14" s="39" t="s">
        <v>58</v>
      </c>
      <c r="B14" s="40" t="s">
        <v>59</v>
      </c>
      <c r="C14" s="42">
        <v>27.0</v>
      </c>
      <c r="D14" s="42">
        <v>30.0</v>
      </c>
      <c r="E14" s="43">
        <f t="shared" si="1"/>
        <v>0</v>
      </c>
      <c r="F14" s="43">
        <f t="shared" si="2"/>
        <v>0</v>
      </c>
      <c r="G14" s="44"/>
      <c r="H14" s="48"/>
    </row>
    <row r="15">
      <c r="A15" s="39" t="s">
        <v>60</v>
      </c>
      <c r="B15" s="40" t="s">
        <v>61</v>
      </c>
      <c r="C15" s="41">
        <v>68.0</v>
      </c>
      <c r="D15" s="41">
        <v>75.0</v>
      </c>
      <c r="E15" s="43">
        <f t="shared" si="1"/>
        <v>0</v>
      </c>
      <c r="F15" s="43">
        <f t="shared" si="2"/>
        <v>0</v>
      </c>
      <c r="G15" s="44"/>
      <c r="H15" s="48"/>
    </row>
    <row r="16">
      <c r="A16" s="39" t="s">
        <v>62</v>
      </c>
      <c r="B16" s="40" t="s">
        <v>63</v>
      </c>
      <c r="C16" s="41">
        <v>446.0</v>
      </c>
      <c r="D16" s="42">
        <v>495.0</v>
      </c>
      <c r="E16" s="43">
        <f t="shared" si="1"/>
        <v>446</v>
      </c>
      <c r="F16" s="43">
        <f t="shared" si="2"/>
        <v>495</v>
      </c>
      <c r="G16" s="44" t="s">
        <v>30</v>
      </c>
      <c r="H16" s="48"/>
    </row>
    <row r="17">
      <c r="A17" s="39" t="s">
        <v>64</v>
      </c>
      <c r="B17" s="40" t="s">
        <v>65</v>
      </c>
      <c r="C17" s="46">
        <v>316.0</v>
      </c>
      <c r="D17" s="46">
        <v>350.0</v>
      </c>
      <c r="E17" s="43">
        <f t="shared" si="1"/>
        <v>316</v>
      </c>
      <c r="F17" s="43">
        <f t="shared" si="2"/>
        <v>350</v>
      </c>
      <c r="G17" s="44" t="s">
        <v>30</v>
      </c>
      <c r="H17" s="48"/>
    </row>
    <row r="18">
      <c r="A18" s="39" t="s">
        <v>66</v>
      </c>
      <c r="B18" s="40" t="s">
        <v>67</v>
      </c>
      <c r="C18" s="53">
        <v>896.0</v>
      </c>
      <c r="D18" s="53">
        <v>995.0</v>
      </c>
      <c r="E18" s="43">
        <f t="shared" si="1"/>
        <v>0</v>
      </c>
      <c r="F18" s="43">
        <f t="shared" si="2"/>
        <v>0</v>
      </c>
      <c r="G18" s="44"/>
      <c r="H18" s="52" t="str">
        <f>if(or(G12="x",G19="x"),"N/A with Roll-Up Tonneau (CSD) [F13] or Mopar Soft Tri-fold (CT6) [F20]","")</f>
        <v/>
      </c>
    </row>
    <row r="19">
      <c r="A19" s="39" t="s">
        <v>68</v>
      </c>
      <c r="B19" s="40" t="s">
        <v>69</v>
      </c>
      <c r="C19" s="53">
        <v>563.0</v>
      </c>
      <c r="D19" s="53">
        <v>625.0</v>
      </c>
      <c r="E19" s="43">
        <f t="shared" si="1"/>
        <v>0</v>
      </c>
      <c r="F19" s="43">
        <f t="shared" si="2"/>
        <v>0</v>
      </c>
      <c r="G19" s="54"/>
      <c r="H19" s="48" t="str">
        <f>if(or(G12="x",G18="x"),"N/A with Roll-Up Tonneau (CSD) [F13] or Mopar Hard Tri-fold (CSU) [F19]","")</f>
        <v/>
      </c>
    </row>
    <row r="20">
      <c r="A20" s="39"/>
      <c r="B20" s="40" t="s">
        <v>70</v>
      </c>
      <c r="C20" s="41">
        <v>220.0</v>
      </c>
      <c r="D20" s="41">
        <v>245.0</v>
      </c>
      <c r="E20" s="43">
        <f t="shared" si="1"/>
        <v>220</v>
      </c>
      <c r="F20" s="55">
        <f t="shared" si="2"/>
        <v>245</v>
      </c>
      <c r="G20" s="56" t="s">
        <v>30</v>
      </c>
      <c r="H20" s="57" t="s">
        <v>71</v>
      </c>
    </row>
    <row r="21">
      <c r="A21" s="58"/>
      <c r="B21" s="59" t="str">
        <f>'Mopar Add-Ons'!B24</f>
        <v>Total Mopar Add-On Cost</v>
      </c>
      <c r="C21" s="60"/>
      <c r="D21" s="60"/>
      <c r="E21" s="61">
        <f>'Mopar Add-Ons'!E24</f>
        <v>0</v>
      </c>
      <c r="F21" s="62">
        <f>'Mopar Add-Ons'!F24</f>
        <v>0</v>
      </c>
      <c r="G21" s="63"/>
      <c r="H21" s="64" t="str">
        <f>'Mopar Add-Ons'!H24</f>
        <v>Price pulled from sheet "Mopar Add-Ons"</v>
      </c>
    </row>
    <row r="22">
      <c r="A22" s="65"/>
      <c r="B22" s="66" t="s">
        <v>72</v>
      </c>
      <c r="C22" s="67"/>
      <c r="D22" s="67"/>
      <c r="E22" s="68">
        <f t="shared" ref="E22:F22" si="3">SUM(E3:E21)</f>
        <v>42412</v>
      </c>
      <c r="F22" s="69">
        <f t="shared" si="3"/>
        <v>44045</v>
      </c>
      <c r="G22" s="70"/>
      <c r="H22" s="71"/>
    </row>
    <row r="23">
      <c r="A23" s="72"/>
      <c r="B23" s="73" t="s">
        <v>73</v>
      </c>
      <c r="C23" s="74"/>
      <c r="D23" s="74"/>
      <c r="E23" s="75"/>
      <c r="F23" s="76">
        <f>F22+D38</f>
        <v>44045</v>
      </c>
      <c r="G23" s="77"/>
      <c r="H23" s="48"/>
    </row>
    <row r="24">
      <c r="A24" s="72"/>
      <c r="B24" s="72"/>
      <c r="C24" s="72"/>
      <c r="D24" s="72"/>
      <c r="E24" s="72"/>
      <c r="F24" s="77"/>
      <c r="G24" s="77"/>
      <c r="H24" s="48"/>
    </row>
    <row r="25" ht="15.0" customHeight="1">
      <c r="A25" s="78"/>
      <c r="B25" s="79" t="s">
        <v>23</v>
      </c>
      <c r="C25" s="80"/>
      <c r="D25" s="80">
        <f>F22</f>
        <v>44045</v>
      </c>
      <c r="E25" s="44"/>
      <c r="F25" s="81" t="s">
        <v>99</v>
      </c>
      <c r="G25" s="82"/>
      <c r="H25" s="134" t="s">
        <v>100</v>
      </c>
    </row>
    <row r="26" ht="15.75" customHeight="1">
      <c r="A26" s="78"/>
      <c r="B26" s="79" t="s">
        <v>22</v>
      </c>
      <c r="C26" s="80"/>
      <c r="D26" s="80">
        <f>E22</f>
        <v>42412</v>
      </c>
      <c r="E26" s="44" t="s">
        <v>30</v>
      </c>
      <c r="G26" s="84"/>
      <c r="H26" s="135" t="s">
        <v>101</v>
      </c>
    </row>
    <row r="27" ht="15.75" customHeight="1">
      <c r="A27" s="78"/>
      <c r="B27" s="79" t="s">
        <v>75</v>
      </c>
      <c r="C27" s="85">
        <v>0.03</v>
      </c>
      <c r="D27" s="80">
        <f>E22*(1-C27)</f>
        <v>41139.64</v>
      </c>
      <c r="E27" s="44"/>
      <c r="G27" s="84"/>
      <c r="H27" s="136" t="s">
        <v>102</v>
      </c>
    </row>
    <row r="28" ht="15.75" customHeight="1">
      <c r="A28" s="78"/>
      <c r="B28" s="87" t="s">
        <v>18</v>
      </c>
      <c r="C28" s="88"/>
      <c r="D28" s="89"/>
      <c r="E28" s="89"/>
      <c r="F28" s="90"/>
      <c r="G28" s="91"/>
      <c r="H28" s="136" t="s">
        <v>103</v>
      </c>
    </row>
    <row r="29" ht="15.75" customHeight="1">
      <c r="A29" s="78"/>
      <c r="B29" s="92" t="s">
        <v>76</v>
      </c>
      <c r="C29" s="93"/>
      <c r="D29" s="93">
        <v>1495.0</v>
      </c>
      <c r="E29" s="94">
        <f>(((SUM(((IF(E25="x",D25,0))+IF(E26="x",D26,0))+IF(E27="x",D27,0))+(IF(E28="x",D28,0))))+D29)</f>
        <v>43907</v>
      </c>
      <c r="F29" s="95"/>
      <c r="G29" s="96"/>
      <c r="H29" s="136" t="s">
        <v>104</v>
      </c>
    </row>
    <row r="30" ht="15.75" customHeight="1">
      <c r="A30" s="78"/>
      <c r="B30" s="97" t="s">
        <v>77</v>
      </c>
      <c r="C30" s="98"/>
      <c r="D30" s="98"/>
      <c r="E30" s="99"/>
      <c r="F30" s="100" t="s">
        <v>78</v>
      </c>
      <c r="G30" s="101"/>
      <c r="H30" s="136" t="s">
        <v>105</v>
      </c>
    </row>
    <row r="31" ht="15.75" customHeight="1">
      <c r="A31" s="78"/>
      <c r="B31" s="97" t="s">
        <v>79</v>
      </c>
      <c r="C31" s="98"/>
      <c r="D31" s="98"/>
      <c r="E31" s="99">
        <v>13000.0</v>
      </c>
      <c r="F31" s="100" t="s">
        <v>80</v>
      </c>
      <c r="G31" s="101"/>
      <c r="H31" s="135" t="s">
        <v>106</v>
      </c>
    </row>
    <row r="32" ht="15.75" customHeight="1">
      <c r="A32" s="78"/>
      <c r="B32" s="97" t="s">
        <v>81</v>
      </c>
      <c r="C32" s="102"/>
      <c r="D32" s="102"/>
      <c r="E32" s="103"/>
      <c r="F32" s="100" t="s">
        <v>82</v>
      </c>
      <c r="G32" s="101"/>
      <c r="H32" s="136" t="s">
        <v>107</v>
      </c>
    </row>
    <row r="33" ht="15.75" customHeight="1">
      <c r="A33" s="86"/>
      <c r="B33" s="97" t="s">
        <v>83</v>
      </c>
      <c r="C33" s="102"/>
      <c r="D33" s="102"/>
      <c r="E33" s="103"/>
      <c r="F33" s="100" t="s">
        <v>84</v>
      </c>
      <c r="G33" s="101"/>
      <c r="H33" s="137" t="s">
        <v>108</v>
      </c>
    </row>
    <row r="34" ht="15.75" customHeight="1">
      <c r="A34" s="86"/>
      <c r="B34" s="104" t="s">
        <v>85</v>
      </c>
      <c r="C34" s="105"/>
      <c r="D34" s="106">
        <v>0.095</v>
      </c>
      <c r="E34" s="107">
        <f>(E29-E30+E32+E33)*D34</f>
        <v>4171.165</v>
      </c>
      <c r="F34" s="100" t="s">
        <v>86</v>
      </c>
      <c r="G34" s="101"/>
    </row>
    <row r="35" ht="15.75" customHeight="1">
      <c r="A35" s="86"/>
      <c r="B35" s="110" t="s">
        <v>87</v>
      </c>
      <c r="C35" s="111"/>
      <c r="D35" s="111"/>
      <c r="E35" s="111">
        <f>sum(E29-E30-E31+E32+E33+E34)</f>
        <v>35078.165</v>
      </c>
      <c r="F35" s="96"/>
      <c r="G35" s="112"/>
      <c r="H35" s="83"/>
    </row>
    <row r="36" ht="15.75" customHeight="1">
      <c r="A36" s="86"/>
      <c r="B36" s="115"/>
      <c r="C36" s="113"/>
      <c r="D36" s="113"/>
      <c r="E36" s="113"/>
      <c r="F36" s="116"/>
      <c r="G36" s="116"/>
      <c r="H36" s="83"/>
    </row>
    <row r="37" ht="15.75" customHeight="1">
      <c r="A37" s="86"/>
      <c r="B37" s="117"/>
      <c r="C37" s="118" t="s">
        <v>88</v>
      </c>
      <c r="D37" s="118"/>
      <c r="E37" s="113"/>
      <c r="F37" s="116"/>
      <c r="G37" s="116"/>
      <c r="H37" s="83"/>
    </row>
    <row r="38" ht="15.75" customHeight="1">
      <c r="A38" s="86"/>
      <c r="B38" s="83"/>
      <c r="C38" s="120" t="s">
        <v>89</v>
      </c>
      <c r="D38" s="121"/>
      <c r="E38" s="55">
        <f>E35</f>
        <v>35078.165</v>
      </c>
      <c r="F38" s="122" t="s">
        <v>90</v>
      </c>
      <c r="G38" s="101"/>
      <c r="H38" s="48"/>
    </row>
    <row r="39" ht="15.75" customHeight="1">
      <c r="A39" s="86"/>
      <c r="B39" s="83"/>
      <c r="C39" s="120" t="s">
        <v>91</v>
      </c>
      <c r="D39" s="121"/>
      <c r="E39" s="123">
        <v>0.029</v>
      </c>
      <c r="F39" s="124" t="s">
        <v>92</v>
      </c>
      <c r="G39" s="125"/>
      <c r="H39" s="108"/>
    </row>
    <row r="40" ht="15.75" customHeight="1">
      <c r="A40" s="109"/>
      <c r="B40" s="83"/>
      <c r="C40" s="126" t="s">
        <v>93</v>
      </c>
      <c r="D40" s="127"/>
      <c r="E40" s="128">
        <v>72.0</v>
      </c>
      <c r="F40" s="129" t="s">
        <v>94</v>
      </c>
      <c r="G40" s="130"/>
      <c r="H40" s="113"/>
    </row>
    <row r="41" ht="15.75" customHeight="1">
      <c r="A41" s="114"/>
      <c r="B41" s="115"/>
      <c r="C41" s="112" t="s">
        <v>95</v>
      </c>
      <c r="D41" s="112"/>
      <c r="E41" s="131">
        <f>PMT(E39/12,E40,-E38)</f>
        <v>531.3984083</v>
      </c>
      <c r="F41" s="77"/>
      <c r="G41" s="131"/>
      <c r="H41" s="115"/>
    </row>
    <row r="42" ht="15.75" customHeight="1">
      <c r="A42" s="114"/>
      <c r="B42" s="115"/>
      <c r="C42" s="115"/>
      <c r="D42" s="115"/>
      <c r="E42" s="115"/>
      <c r="F42" s="115"/>
      <c r="G42" s="115"/>
      <c r="H42" s="132"/>
    </row>
    <row r="43" ht="15.75" customHeight="1">
      <c r="A43" s="114"/>
      <c r="B43" s="115"/>
      <c r="C43" s="115"/>
      <c r="D43" s="115"/>
      <c r="E43" s="115"/>
      <c r="F43" s="115"/>
      <c r="G43" s="115"/>
      <c r="H43" s="132" t="s">
        <v>96</v>
      </c>
    </row>
    <row r="44" ht="15.75" customHeight="1">
      <c r="A44" s="114"/>
      <c r="B44" s="115"/>
      <c r="C44" s="115"/>
      <c r="D44" s="115"/>
      <c r="E44" s="115"/>
      <c r="F44" s="115"/>
      <c r="G44" s="115"/>
      <c r="H44" s="115"/>
    </row>
  </sheetData>
  <mergeCells count="1">
    <mergeCell ref="F25:G28"/>
  </mergeCells>
  <conditionalFormatting sqref="C18:D19">
    <cfRule type="cellIs" dxfId="0" priority="1" operator="equal">
      <formula>0</formula>
    </cfRule>
  </conditionalFormatting>
  <conditionalFormatting sqref="E4:F21">
    <cfRule type="cellIs" dxfId="1" priority="2" operator="equal">
      <formula>0</formula>
    </cfRule>
  </conditionalFormatting>
  <conditionalFormatting sqref="G17">
    <cfRule type="expression" dxfId="2" priority="3">
      <formula>and(#REF!="x",G17="")</formula>
    </cfRule>
  </conditionalFormatting>
  <conditionalFormatting sqref="C17">
    <cfRule type="expression" dxfId="0" priority="4">
      <formula>#REF!="x"</formula>
    </cfRule>
  </conditionalFormatting>
  <conditionalFormatting sqref="D17">
    <cfRule type="expression" dxfId="0" priority="5">
      <formula>#REF!="x"</formula>
    </cfRule>
  </conditionalFormatting>
  <conditionalFormatting sqref="G5">
    <cfRule type="expression" dxfId="3" priority="6">
      <formula>and(G4="x",G5="x")</formula>
    </cfRule>
  </conditionalFormatting>
  <conditionalFormatting sqref="G6">
    <cfRule type="expression" dxfId="3" priority="7">
      <formula>and(G4="x",G6="x")</formula>
    </cfRule>
  </conditionalFormatting>
  <conditionalFormatting sqref="G4">
    <cfRule type="expression" dxfId="3" priority="8">
      <formula>and(G4="x",G5="x")</formula>
    </cfRule>
  </conditionalFormatting>
  <conditionalFormatting sqref="G6">
    <cfRule type="expression" dxfId="3" priority="9">
      <formula>and(G5="x",G6="")</formula>
    </cfRule>
  </conditionalFormatting>
  <conditionalFormatting sqref="G5">
    <cfRule type="expression" dxfId="3" priority="10">
      <formula>and(G6="x",G5="")</formula>
    </cfRule>
  </conditionalFormatting>
  <conditionalFormatting sqref="G4">
    <cfRule type="expression" dxfId="4" priority="11">
      <formula>and(G4="",#REF!="x")</formula>
    </cfRule>
  </conditionalFormatting>
  <conditionalFormatting sqref="H4:H21">
    <cfRule type="containsText" dxfId="0" priority="12" operator="containsText" text="Include">
      <formula>NOT(ISERROR(SEARCH(("Include"),(H4))))</formula>
    </cfRule>
  </conditionalFormatting>
  <conditionalFormatting sqref="H4:H21">
    <cfRule type="containsText" dxfId="5" priority="13" operator="containsText" text="N/A">
      <formula>NOT(ISERROR(SEARCH(("N/A"),(H4))))</formula>
    </cfRule>
  </conditionalFormatting>
  <conditionalFormatting sqref="H4:H21">
    <cfRule type="containsText" dxfId="5" priority="14" operator="containsText" text="Only">
      <formula>NOT(ISERROR(SEARCH(("Only"),(H4))))</formula>
    </cfRule>
  </conditionalFormatting>
  <conditionalFormatting sqref="H4:H21">
    <cfRule type="containsText" dxfId="6" priority="15" operator="containsText" text="Reduce">
      <formula>NOT(ISERROR(SEARCH(("Reduce"),(H4))))</formula>
    </cfRule>
  </conditionalFormatting>
  <conditionalFormatting sqref="H4:H21">
    <cfRule type="containsText" dxfId="5" priority="16" operator="containsText" text="Require">
      <formula>NOT(ISERROR(SEARCH(("Require"),(H4))))</formula>
    </cfRule>
  </conditionalFormatting>
  <conditionalFormatting sqref="B6">
    <cfRule type="expression" dxfId="7" priority="17">
      <formula>G4="X"</formula>
    </cfRule>
  </conditionalFormatting>
  <conditionalFormatting sqref="B5">
    <cfRule type="expression" dxfId="7" priority="18">
      <formula>G4="X"</formula>
    </cfRule>
  </conditionalFormatting>
  <conditionalFormatting sqref="C5">
    <cfRule type="expression" dxfId="7" priority="19">
      <formula>G4="X"</formula>
    </cfRule>
  </conditionalFormatting>
  <conditionalFormatting sqref="D5">
    <cfRule type="expression" dxfId="7" priority="20">
      <formula>G4="X"</formula>
    </cfRule>
  </conditionalFormatting>
  <conditionalFormatting sqref="A5">
    <cfRule type="expression" dxfId="7" priority="21">
      <formula>G4="X"</formula>
    </cfRule>
  </conditionalFormatting>
  <conditionalFormatting sqref="A6">
    <cfRule type="expression" dxfId="7" priority="22">
      <formula>G4="X"</formula>
    </cfRule>
  </conditionalFormatting>
  <conditionalFormatting sqref="C6">
    <cfRule type="expression" dxfId="7" priority="23">
      <formula>G4="X"</formula>
    </cfRule>
  </conditionalFormatting>
  <conditionalFormatting sqref="D6">
    <cfRule type="expression" dxfId="7" priority="24">
      <formula>G4="X"</formula>
    </cfRule>
  </conditionalFormatting>
  <conditionalFormatting sqref="B4:B21">
    <cfRule type="expression" dxfId="8" priority="25">
      <formula>G4:G21="x"</formula>
    </cfRule>
  </conditionalFormatting>
  <conditionalFormatting sqref="E4:E21">
    <cfRule type="expression" dxfId="8" priority="26">
      <formula>G4:G21="x"</formula>
    </cfRule>
  </conditionalFormatting>
  <conditionalFormatting sqref="F4:F21">
    <cfRule type="expression" dxfId="8" priority="27">
      <formula>G4:G21="x"</formula>
    </cfRule>
  </conditionalFormatting>
  <dataValidations>
    <dataValidation type="list" allowBlank="1" sqref="C27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portrait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57.29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110</v>
      </c>
    </row>
    <row r="3">
      <c r="A3" s="33" t="s">
        <v>111</v>
      </c>
      <c r="B3" s="142" t="s">
        <v>112</v>
      </c>
      <c r="C3" s="35">
        <v>35858.0</v>
      </c>
      <c r="D3" s="35">
        <v>36765.0</v>
      </c>
      <c r="E3" s="36">
        <f t="shared" ref="E3:E38" si="1">IF(G3="x",C3,0)</f>
        <v>35858</v>
      </c>
      <c r="F3" s="36">
        <f t="shared" ref="F3:F38" si="2">IF(G3="x",D3,0)</f>
        <v>36765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145" t="s">
        <v>114</v>
      </c>
      <c r="B7" s="146" t="s">
        <v>115</v>
      </c>
      <c r="C7" s="41">
        <v>1796.0</v>
      </c>
      <c r="D7" s="41">
        <v>1995.0</v>
      </c>
      <c r="E7" s="43">
        <f t="shared" si="1"/>
        <v>0</v>
      </c>
      <c r="F7" s="43">
        <f t="shared" si="2"/>
        <v>0</v>
      </c>
      <c r="G7" s="44"/>
      <c r="H7" s="149" t="str">
        <f>if(and(G7="x",G33=""),"Requires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if(and(G8="x",G26=""),"Requires Safety Group (AJ1)","")</f>
        <v/>
      </c>
    </row>
    <row r="9" ht="15.75" customHeight="1">
      <c r="A9" s="145" t="s">
        <v>38</v>
      </c>
      <c r="B9" s="146" t="s">
        <v>118</v>
      </c>
      <c r="C9" s="41">
        <v>149.0</v>
      </c>
      <c r="D9" s="41">
        <v>165.0</v>
      </c>
      <c r="E9" s="43">
        <f t="shared" si="1"/>
        <v>0</v>
      </c>
      <c r="F9" s="43">
        <f t="shared" si="2"/>
        <v>0</v>
      </c>
      <c r="G9" s="44"/>
      <c r="H9" s="77"/>
    </row>
    <row r="10" ht="15.75" customHeight="1">
      <c r="A10" s="39" t="s">
        <v>119</v>
      </c>
      <c r="B10" s="148" t="s">
        <v>120</v>
      </c>
      <c r="C10" s="49">
        <f>if(G7="x",0,1166)</f>
        <v>1166</v>
      </c>
      <c r="D10" s="50">
        <f>if(G7="x",0,1295)</f>
        <v>1295</v>
      </c>
      <c r="E10" s="43">
        <f t="shared" si="1"/>
        <v>0</v>
      </c>
      <c r="F10" s="43">
        <f t="shared" si="2"/>
        <v>0</v>
      </c>
      <c r="G10" s="44"/>
      <c r="H10" s="149" t="str">
        <f>if(G7="x","Included with Premium Audio Group","")</f>
        <v/>
      </c>
    </row>
    <row r="11">
      <c r="A11" s="145" t="s">
        <v>40</v>
      </c>
      <c r="B11" s="146" t="s">
        <v>121</v>
      </c>
      <c r="C11" s="49">
        <f>if(or(G6="x",G22="x"),0,536)</f>
        <v>536</v>
      </c>
      <c r="D11" s="50">
        <f>if(or(G6="x",G22="x"),0,595)</f>
        <v>595</v>
      </c>
      <c r="E11" s="43">
        <f t="shared" si="1"/>
        <v>0</v>
      </c>
      <c r="F11" s="43">
        <f t="shared" si="2"/>
        <v>0</v>
      </c>
      <c r="G11" s="44"/>
      <c r="H11" s="51" t="str">
        <f>if(or(G22="x",G5="x"),"Included with Max Tow (AJQ) [G21] or V6 Turbo Diesel (EXJ) [G6]","")</f>
        <v/>
      </c>
    </row>
    <row r="12">
      <c r="A12" s="39" t="s">
        <v>42</v>
      </c>
      <c r="B12" s="148" t="s">
        <v>122</v>
      </c>
      <c r="C12" s="41">
        <v>266.0</v>
      </c>
      <c r="D12" s="42">
        <v>295.0</v>
      </c>
      <c r="E12" s="43">
        <f t="shared" si="1"/>
        <v>0</v>
      </c>
      <c r="F12" s="43">
        <f t="shared" si="2"/>
        <v>0</v>
      </c>
      <c r="G12" s="44"/>
      <c r="H12" s="147"/>
    </row>
    <row r="13" ht="15.75" customHeight="1">
      <c r="A13" s="39" t="s">
        <v>44</v>
      </c>
      <c r="B13" s="148" t="s">
        <v>123</v>
      </c>
      <c r="C13" s="50">
        <f>if(or(G17="x",G23="x"),0,1256)</f>
        <v>1256</v>
      </c>
      <c r="D13" s="50">
        <f>if(or(G17="x",G23="x"),0,1395)</f>
        <v>1395</v>
      </c>
      <c r="E13" s="43">
        <f t="shared" si="1"/>
        <v>0</v>
      </c>
      <c r="F13" s="43">
        <f t="shared" si="2"/>
        <v>0</v>
      </c>
      <c r="G13" s="44"/>
      <c r="H13" s="147" t="str">
        <f>if(or(G17="x",G23="x"),"Included with Dual Top Group (AEN) or Popular Equipment Package (AEH)","")</f>
        <v/>
      </c>
    </row>
    <row r="14">
      <c r="A14" s="39" t="s">
        <v>124</v>
      </c>
      <c r="B14" s="148" t="s">
        <v>125</v>
      </c>
      <c r="C14" s="41">
        <v>806.0</v>
      </c>
      <c r="D14" s="42">
        <v>895.0</v>
      </c>
      <c r="E14" s="43">
        <f t="shared" si="1"/>
        <v>0</v>
      </c>
      <c r="F14" s="43">
        <f t="shared" si="2"/>
        <v>0</v>
      </c>
      <c r="G14" s="44"/>
      <c r="H14" s="147"/>
    </row>
    <row r="15">
      <c r="A15" s="39" t="s">
        <v>126</v>
      </c>
      <c r="B15" s="148" t="s">
        <v>127</v>
      </c>
      <c r="C15" s="50">
        <f>if(or(and(G4="",G5=""),G23="x"),626,896)</f>
        <v>626</v>
      </c>
      <c r="D15" s="49">
        <f>if(or(and(G4="",G5=""),G23="x"),695,995)</f>
        <v>695</v>
      </c>
      <c r="E15" s="43">
        <f t="shared" si="1"/>
        <v>0</v>
      </c>
      <c r="F15" s="43">
        <f t="shared" si="2"/>
        <v>0</v>
      </c>
      <c r="G15" s="44"/>
      <c r="H15" s="51"/>
    </row>
    <row r="16">
      <c r="A16" s="39" t="s">
        <v>128</v>
      </c>
      <c r="B16" s="148" t="s">
        <v>129</v>
      </c>
      <c r="C16" s="50">
        <f>if(G23="x",0,IF(or(G4="",G15="x"),356,536))</f>
        <v>356</v>
      </c>
      <c r="D16" s="50">
        <f>if(G23="x",0,IF(or(G4="",G15="x"),395,595))</f>
        <v>395</v>
      </c>
      <c r="E16" s="43">
        <f t="shared" si="1"/>
        <v>0</v>
      </c>
      <c r="F16" s="43">
        <f t="shared" si="2"/>
        <v>0</v>
      </c>
      <c r="G16" s="44"/>
      <c r="H16" s="51" t="str">
        <f>if(G23="x","Included with Popular Equipment Package (AEH)","")</f>
        <v/>
      </c>
    </row>
    <row r="17">
      <c r="A17" s="39" t="s">
        <v>130</v>
      </c>
      <c r="B17" s="148" t="s">
        <v>131</v>
      </c>
      <c r="C17" s="49">
        <f>if(G23="x",990,2156)</f>
        <v>2156</v>
      </c>
      <c r="D17" s="49">
        <f>if(G23="x",1100,2395)</f>
        <v>2395</v>
      </c>
      <c r="E17" s="43">
        <f t="shared" si="1"/>
        <v>0</v>
      </c>
      <c r="F17" s="43">
        <f t="shared" si="2"/>
        <v>0</v>
      </c>
      <c r="G17" s="44"/>
      <c r="H17" s="149" t="str">
        <f>if(AND(G17="x",G25="",G36="",G37=""),"Requires Tonneau Option;Roll-Up (CSD), Hard Tri-fold (CSU) or Soft Tri-fold (CT6)","")</f>
        <v/>
      </c>
    </row>
    <row r="18">
      <c r="A18" s="145" t="s">
        <v>48</v>
      </c>
      <c r="B18" s="146" t="s">
        <v>49</v>
      </c>
      <c r="C18" s="41">
        <v>86.0</v>
      </c>
      <c r="D18" s="42">
        <v>95.0</v>
      </c>
      <c r="E18" s="43">
        <f t="shared" si="1"/>
        <v>0</v>
      </c>
      <c r="F18" s="43">
        <f t="shared" si="2"/>
        <v>0</v>
      </c>
      <c r="G18" s="44"/>
      <c r="H18" s="147"/>
    </row>
    <row r="19" ht="15.75" customHeight="1">
      <c r="A19" s="39" t="s">
        <v>132</v>
      </c>
      <c r="B19" s="148" t="s">
        <v>133</v>
      </c>
      <c r="C19" s="41">
        <v>913.0</v>
      </c>
      <c r="D19" s="41">
        <v>1015.0</v>
      </c>
      <c r="E19" s="43">
        <f t="shared" si="1"/>
        <v>0</v>
      </c>
      <c r="F19" s="43">
        <f t="shared" si="2"/>
        <v>0</v>
      </c>
      <c r="G19" s="44"/>
      <c r="H19" s="149" t="str">
        <f>(if(and(G19="x",G26=""),"Requires Safety Group (AJ1)",""))</f>
        <v/>
      </c>
    </row>
    <row r="20" ht="15.75" customHeight="1">
      <c r="A20" s="39" t="s">
        <v>134</v>
      </c>
      <c r="B20" s="148" t="s">
        <v>135</v>
      </c>
      <c r="C20" s="41">
        <v>500.0</v>
      </c>
      <c r="D20" s="41">
        <v>595.0</v>
      </c>
      <c r="E20" s="43">
        <f t="shared" si="1"/>
        <v>0</v>
      </c>
      <c r="F20" s="43">
        <f t="shared" si="2"/>
        <v>0</v>
      </c>
      <c r="G20" s="44"/>
      <c r="H20" s="149" t="str">
        <f>if(G20="x",if(or(G17="x",G13="x"),"","Requires Dual Top Group (AEN) or Black 3-Pc Hard Top (HT1)"),"")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39" t="s">
        <v>52</v>
      </c>
      <c r="B22" s="148" t="s">
        <v>53</v>
      </c>
      <c r="C22" s="41">
        <v>1120.0</v>
      </c>
      <c r="D22" s="41">
        <v>1245.0</v>
      </c>
      <c r="E22" s="43">
        <f t="shared" si="1"/>
        <v>0</v>
      </c>
      <c r="F22" s="43">
        <f t="shared" si="2"/>
        <v>0</v>
      </c>
      <c r="G22" s="44"/>
      <c r="H22" s="149" t="str">
        <f>if(G5="x","N/A with 8HP75 Automatic Transmission (DFV)","")</f>
        <v/>
      </c>
    </row>
    <row r="23" ht="15.75" customHeight="1">
      <c r="A23" s="145" t="s">
        <v>136</v>
      </c>
      <c r="B23" s="146" t="s">
        <v>137</v>
      </c>
      <c r="C23" s="41">
        <v>1256.0</v>
      </c>
      <c r="D23" s="41">
        <v>1395.0</v>
      </c>
      <c r="E23" s="43">
        <f t="shared" si="1"/>
        <v>0</v>
      </c>
      <c r="F23" s="43">
        <f t="shared" si="2"/>
        <v>0</v>
      </c>
      <c r="G23" s="44"/>
      <c r="H23" s="149"/>
    </row>
    <row r="24">
      <c r="A24" s="39" t="s">
        <v>138</v>
      </c>
      <c r="B24" s="148" t="s">
        <v>139</v>
      </c>
      <c r="C24" s="49">
        <f>if(G17="x",0,536)</f>
        <v>536</v>
      </c>
      <c r="D24" s="50">
        <f>if(G17="x",0,595)</f>
        <v>595</v>
      </c>
      <c r="E24" s="43">
        <f t="shared" si="1"/>
        <v>0</v>
      </c>
      <c r="F24" s="43">
        <f t="shared" si="2"/>
        <v>0</v>
      </c>
      <c r="G24" s="44"/>
      <c r="H24" s="147" t="str">
        <f>if(G17="x","Included with AEN (Dual Top Group)[F17]","")</f>
        <v/>
      </c>
    </row>
    <row r="25" ht="15.75" customHeight="1">
      <c r="A25" s="39" t="s">
        <v>54</v>
      </c>
      <c r="B25" s="148" t="s">
        <v>55</v>
      </c>
      <c r="C25" s="41">
        <v>536.0</v>
      </c>
      <c r="D25" s="41">
        <v>595.0</v>
      </c>
      <c r="E25" s="43">
        <f t="shared" si="1"/>
        <v>0</v>
      </c>
      <c r="F25" s="43">
        <f t="shared" si="2"/>
        <v>0</v>
      </c>
      <c r="G25" s="44"/>
      <c r="H25" s="52" t="str">
        <f>if(G37="x","N/A with Mopar Soft Tri-fold (CT6) [F23]","")</f>
        <v/>
      </c>
    </row>
    <row r="26">
      <c r="A26" s="39" t="s">
        <v>140</v>
      </c>
      <c r="B26" s="148" t="s">
        <v>141</v>
      </c>
      <c r="C26" s="41">
        <v>896.0</v>
      </c>
      <c r="D26" s="42">
        <v>995.0</v>
      </c>
      <c r="E26" s="43">
        <f t="shared" si="1"/>
        <v>0</v>
      </c>
      <c r="F26" s="43">
        <f t="shared" si="2"/>
        <v>0</v>
      </c>
      <c r="G26" s="44"/>
      <c r="H26" s="147"/>
    </row>
    <row r="27" ht="15.75" customHeight="1">
      <c r="A27" s="39" t="s">
        <v>142</v>
      </c>
      <c r="B27" s="148" t="s">
        <v>143</v>
      </c>
      <c r="C27" s="41">
        <v>626.0</v>
      </c>
      <c r="D27" s="41">
        <v>695.0</v>
      </c>
      <c r="E27" s="43">
        <f t="shared" si="1"/>
        <v>0</v>
      </c>
      <c r="F27" s="43">
        <f t="shared" si="2"/>
        <v>0</v>
      </c>
      <c r="G27" s="44"/>
      <c r="H27" s="149" t="str">
        <f>if(and(G27="x",G4=""),"Requires 8-Speed Automatic 850Re Transmission (DFT)","")</f>
        <v/>
      </c>
    </row>
    <row r="28" ht="15.75" customHeight="1">
      <c r="A28" s="39" t="s">
        <v>144</v>
      </c>
      <c r="B28" s="148" t="s">
        <v>145</v>
      </c>
      <c r="C28" s="41">
        <v>626.0</v>
      </c>
      <c r="D28" s="42">
        <v>695.0</v>
      </c>
      <c r="E28" s="43">
        <f t="shared" si="1"/>
        <v>0</v>
      </c>
      <c r="F28" s="43">
        <f t="shared" si="2"/>
        <v>0</v>
      </c>
      <c r="G28" s="44"/>
      <c r="H28" s="147"/>
    </row>
    <row r="29" ht="15.75" customHeight="1">
      <c r="A29" s="39" t="s">
        <v>56</v>
      </c>
      <c r="B29" s="148" t="s">
        <v>57</v>
      </c>
      <c r="C29" s="50">
        <f>if(G33="x",0,266)</f>
        <v>266</v>
      </c>
      <c r="D29" s="50">
        <f>if(G33="x",0,295)</f>
        <v>295</v>
      </c>
      <c r="E29" s="43">
        <f t="shared" si="1"/>
        <v>0</v>
      </c>
      <c r="F29" s="43">
        <f t="shared" si="2"/>
        <v>0</v>
      </c>
      <c r="G29" s="44"/>
      <c r="H29" s="149" t="str">
        <f>if(G33="x","Included with Technology Group (AAN)","")</f>
        <v/>
      </c>
    </row>
    <row r="30">
      <c r="A30" s="39" t="s">
        <v>146</v>
      </c>
      <c r="B30" s="148" t="s">
        <v>59</v>
      </c>
      <c r="C30" s="42">
        <v>27.0</v>
      </c>
      <c r="D30" s="42">
        <v>30.0</v>
      </c>
      <c r="E30" s="43">
        <f t="shared" si="1"/>
        <v>0</v>
      </c>
      <c r="F30" s="43">
        <f t="shared" si="2"/>
        <v>0</v>
      </c>
      <c r="G30" s="44"/>
      <c r="H30" s="147"/>
    </row>
    <row r="31" ht="15.75" customHeight="1">
      <c r="A31" s="39" t="s">
        <v>60</v>
      </c>
      <c r="B31" s="148" t="s">
        <v>61</v>
      </c>
      <c r="C31" s="41">
        <v>68.0</v>
      </c>
      <c r="D31" s="42">
        <v>75.0</v>
      </c>
      <c r="E31" s="43">
        <f t="shared" si="1"/>
        <v>0</v>
      </c>
      <c r="F31" s="43">
        <f t="shared" si="2"/>
        <v>0</v>
      </c>
      <c r="G31" s="44"/>
      <c r="H31" s="149" t="str">
        <f>if(G31="x",if(or(G17="x",G24="x"),"","Requires STB (Premium Soft Top)[F18] or AEN (Dual Top Group)[F17]"),"")</f>
        <v/>
      </c>
    </row>
    <row r="32" ht="15.75" customHeight="1">
      <c r="A32" s="39" t="s">
        <v>62</v>
      </c>
      <c r="B32" s="148" t="s">
        <v>63</v>
      </c>
      <c r="C32" s="41">
        <v>446.0</v>
      </c>
      <c r="D32" s="42">
        <v>495.0</v>
      </c>
      <c r="E32" s="43">
        <f t="shared" si="1"/>
        <v>0</v>
      </c>
      <c r="F32" s="43">
        <f t="shared" si="2"/>
        <v>0</v>
      </c>
      <c r="G32" s="44"/>
      <c r="H32" s="147"/>
    </row>
    <row r="33">
      <c r="A33" s="145" t="s">
        <v>147</v>
      </c>
      <c r="B33" s="146" t="s">
        <v>148</v>
      </c>
      <c r="C33" s="49">
        <f>if(G23="x",0,626)</f>
        <v>626</v>
      </c>
      <c r="D33" s="49">
        <f>if(G23="x",0,695)</f>
        <v>695</v>
      </c>
      <c r="E33" s="43">
        <f t="shared" si="1"/>
        <v>0</v>
      </c>
      <c r="F33" s="43">
        <f t="shared" si="2"/>
        <v>0</v>
      </c>
      <c r="G33" s="44"/>
      <c r="H33" s="149" t="str">
        <f>if(and(G33="x",G16=""),"Requires Convenience Group (ADC)","")</f>
        <v/>
      </c>
    </row>
    <row r="34">
      <c r="A34" s="39" t="s">
        <v>64</v>
      </c>
      <c r="B34" s="148" t="s">
        <v>149</v>
      </c>
      <c r="C34" s="49">
        <f>if(or(G22="x",G23="x"),0,316)</f>
        <v>316</v>
      </c>
      <c r="D34" s="49">
        <f>if(or(G22="x",G23="x"),0,350)</f>
        <v>350</v>
      </c>
      <c r="E34" s="43">
        <f t="shared" si="1"/>
        <v>0</v>
      </c>
      <c r="F34" s="43">
        <f t="shared" si="2"/>
        <v>0</v>
      </c>
      <c r="G34" s="44"/>
      <c r="H34" s="149" t="str">
        <f>if(or(G22="x",G23="x"),"Included with Max TowPackage (AJQ) or Popular Equipment Package (AEH)","")</f>
        <v/>
      </c>
    </row>
    <row r="35" ht="15.75" customHeight="1">
      <c r="A35" s="39" t="s">
        <v>150</v>
      </c>
      <c r="B35" s="148" t="s">
        <v>151</v>
      </c>
      <c r="C35" s="41">
        <v>266.0</v>
      </c>
      <c r="D35" s="42">
        <v>295.0</v>
      </c>
      <c r="E35" s="43">
        <f t="shared" si="1"/>
        <v>0</v>
      </c>
      <c r="F35" s="43">
        <f t="shared" si="2"/>
        <v>0</v>
      </c>
      <c r="G35" s="44"/>
      <c r="H35" s="149" t="str">
        <f>if(G35="x",if(or(G7="x",G10="x"),"","Requires 8.4 Radio (AEK) or Alpine Premium Audio (RC4)"),"")</f>
        <v/>
      </c>
    </row>
    <row r="36" ht="15.75" customHeight="1">
      <c r="A36" s="39" t="s">
        <v>66</v>
      </c>
      <c r="B36" s="148" t="s">
        <v>67</v>
      </c>
      <c r="C36" s="53">
        <v>896.0</v>
      </c>
      <c r="D36" s="53">
        <v>995.0</v>
      </c>
      <c r="E36" s="43">
        <f t="shared" si="1"/>
        <v>0</v>
      </c>
      <c r="F36" s="43">
        <f t="shared" si="2"/>
        <v>0</v>
      </c>
      <c r="G36" s="44"/>
      <c r="H36" s="52" t="str">
        <f>if(or(G25="x",G37="x"),"N/A with Roll-Up Tonneau (CSD) [F21] or Mopar Soft Tri-fold (CT6) [F23]","")</f>
        <v/>
      </c>
    </row>
    <row r="37" ht="15.75" customHeight="1">
      <c r="A37" s="39" t="s">
        <v>68</v>
      </c>
      <c r="B37" s="148" t="s">
        <v>69</v>
      </c>
      <c r="C37" s="53">
        <v>563.0</v>
      </c>
      <c r="D37" s="53">
        <v>625.0</v>
      </c>
      <c r="E37" s="43">
        <f t="shared" si="1"/>
        <v>0</v>
      </c>
      <c r="F37" s="43">
        <f t="shared" si="2"/>
        <v>0</v>
      </c>
      <c r="G37" s="54"/>
      <c r="H37" s="48" t="str">
        <f>if(or(G25="x",G36="x"),"N/A with Roll-Up Tonneau (CSD) [F21] or Mopar Hard Tri-fold (CSU) [F22]","")</f>
        <v/>
      </c>
    </row>
    <row r="38">
      <c r="A38" s="39"/>
      <c r="B38" s="40" t="s">
        <v>70</v>
      </c>
      <c r="C38" s="41">
        <v>220.0</v>
      </c>
      <c r="D38" s="41">
        <v>245.0</v>
      </c>
      <c r="E38" s="43">
        <f t="shared" si="1"/>
        <v>0</v>
      </c>
      <c r="F38" s="55">
        <f t="shared" si="2"/>
        <v>0</v>
      </c>
      <c r="G38" s="150"/>
      <c r="H38" s="57" t="s">
        <v>71</v>
      </c>
    </row>
    <row r="39">
      <c r="A39" s="58"/>
      <c r="B39" s="151" t="str">
        <f>'Mopar Add-Ons'!B24</f>
        <v>Total Mopar Add-On Cost</v>
      </c>
      <c r="C39" s="60"/>
      <c r="D39" s="60"/>
      <c r="E39" s="61">
        <f>'Mopar Add-Ons'!E24</f>
        <v>0</v>
      </c>
      <c r="F39" s="61">
        <f>'Mopar Add-Ons'!F24</f>
        <v>0</v>
      </c>
      <c r="G39" s="152"/>
      <c r="H39" s="64" t="str">
        <f>'Mopar Add-Ons'!H24</f>
        <v>Price pulled from sheet "Mopar Add-Ons"</v>
      </c>
    </row>
    <row r="40">
      <c r="A40" s="65"/>
      <c r="B40" s="153" t="s">
        <v>72</v>
      </c>
      <c r="C40" s="153"/>
      <c r="D40" s="153"/>
      <c r="E40" s="69">
        <f t="shared" ref="E40:F40" si="3">SUM(E3:E39)</f>
        <v>35858</v>
      </c>
      <c r="F40" s="69">
        <f t="shared" si="3"/>
        <v>36765</v>
      </c>
      <c r="G40" s="154"/>
      <c r="H40" s="154"/>
    </row>
    <row r="41" ht="15.75" customHeight="1">
      <c r="A41" s="155"/>
      <c r="B41" s="73" t="s">
        <v>73</v>
      </c>
      <c r="C41" s="74"/>
      <c r="D41" s="74"/>
      <c r="E41" s="75"/>
      <c r="F41" s="76">
        <f>F40+D57</f>
        <v>36765</v>
      </c>
      <c r="G41" s="72"/>
      <c r="H41" s="83"/>
    </row>
    <row r="42" ht="15.75" customHeight="1">
      <c r="A42" s="72"/>
      <c r="B42" s="72"/>
      <c r="C42" s="72"/>
      <c r="D42" s="72"/>
      <c r="E42" s="72"/>
      <c r="F42" s="72"/>
      <c r="G42" s="72"/>
      <c r="H42" s="83"/>
    </row>
    <row r="43" ht="15.0" customHeight="1">
      <c r="A43" s="78"/>
      <c r="B43" s="79" t="s">
        <v>23</v>
      </c>
      <c r="C43" s="80"/>
      <c r="D43" s="80">
        <f>F40</f>
        <v>36765</v>
      </c>
      <c r="E43" s="44"/>
      <c r="F43" s="81" t="s">
        <v>152</v>
      </c>
      <c r="G43" s="82"/>
      <c r="H43" s="83"/>
    </row>
    <row r="44" ht="15.0" customHeight="1">
      <c r="A44" s="78"/>
      <c r="B44" s="79" t="s">
        <v>22</v>
      </c>
      <c r="C44" s="80"/>
      <c r="D44" s="80">
        <f>E40</f>
        <v>35858</v>
      </c>
      <c r="E44" s="44"/>
      <c r="G44" s="84"/>
      <c r="H44" s="83"/>
    </row>
    <row r="45" ht="15.75" customHeight="1">
      <c r="A45" s="78"/>
      <c r="B45" s="79" t="s">
        <v>75</v>
      </c>
      <c r="C45" s="85">
        <v>0.03</v>
      </c>
      <c r="D45" s="80">
        <f>E40*(1-C45)</f>
        <v>34782.26</v>
      </c>
      <c r="E45" s="44"/>
      <c r="G45" s="84"/>
      <c r="H45" s="83"/>
    </row>
    <row r="46" ht="15.75" customHeight="1">
      <c r="A46" s="78"/>
      <c r="B46" s="87" t="s">
        <v>18</v>
      </c>
      <c r="C46" s="88"/>
      <c r="D46" s="89"/>
      <c r="E46" s="89"/>
      <c r="F46" s="90"/>
      <c r="G46" s="91"/>
      <c r="H46" s="83"/>
    </row>
    <row r="47" ht="15.75" customHeight="1">
      <c r="A47" s="78"/>
      <c r="B47" s="92" t="s">
        <v>76</v>
      </c>
      <c r="C47" s="93"/>
      <c r="D47" s="93">
        <v>1495.0</v>
      </c>
      <c r="E47" s="94">
        <f>(((SUM(((IF(E43="x",D43,0))+IF(E44="x",D44,0))+IF(E45="x",D45,0))+(IF(E46="x",D46,0))))+D47)</f>
        <v>1495</v>
      </c>
      <c r="F47" s="95"/>
      <c r="G47" s="96"/>
      <c r="H47" s="83"/>
    </row>
    <row r="48" ht="15.75" customHeight="1">
      <c r="A48" s="78"/>
      <c r="B48" s="97" t="s">
        <v>77</v>
      </c>
      <c r="C48" s="98"/>
      <c r="D48" s="98"/>
      <c r="E48" s="99"/>
      <c r="F48" s="100" t="s">
        <v>78</v>
      </c>
      <c r="G48" s="101"/>
      <c r="H48" s="83"/>
    </row>
    <row r="49" ht="15.75" customHeight="1">
      <c r="A49" s="78"/>
      <c r="B49" s="97" t="s">
        <v>79</v>
      </c>
      <c r="C49" s="98"/>
      <c r="D49" s="98"/>
      <c r="E49" s="99"/>
      <c r="F49" s="100" t="s">
        <v>80</v>
      </c>
      <c r="G49" s="101"/>
      <c r="H49" s="83"/>
    </row>
    <row r="50" ht="15.75" customHeight="1">
      <c r="A50" s="78"/>
      <c r="B50" s="97" t="s">
        <v>81</v>
      </c>
      <c r="C50" s="102"/>
      <c r="D50" s="102"/>
      <c r="E50" s="103"/>
      <c r="F50" s="100" t="s">
        <v>82</v>
      </c>
      <c r="G50" s="101"/>
      <c r="H50" s="83"/>
    </row>
    <row r="51" ht="15.75" customHeight="1">
      <c r="A51" s="78"/>
      <c r="B51" s="97" t="s">
        <v>83</v>
      </c>
      <c r="C51" s="102"/>
      <c r="D51" s="102"/>
      <c r="E51" s="103"/>
      <c r="F51" s="100" t="s">
        <v>84</v>
      </c>
      <c r="G51" s="101"/>
      <c r="H51" s="83"/>
    </row>
    <row r="52" ht="15.75" customHeight="1">
      <c r="A52" s="86"/>
      <c r="B52" s="104" t="s">
        <v>85</v>
      </c>
      <c r="C52" s="105"/>
      <c r="D52" s="106">
        <v>0.085</v>
      </c>
      <c r="E52" s="107">
        <f>(E47-E48+E50+E51)*D52</f>
        <v>127.075</v>
      </c>
      <c r="F52" s="100" t="s">
        <v>86</v>
      </c>
      <c r="G52" s="101"/>
      <c r="H52" s="83"/>
    </row>
    <row r="53" ht="15.75" customHeight="1">
      <c r="A53" s="86"/>
      <c r="B53" s="110" t="s">
        <v>87</v>
      </c>
      <c r="C53" s="111"/>
      <c r="D53" s="111"/>
      <c r="E53" s="111">
        <f>sum(E47-E48-E49+E50+E51+E52)</f>
        <v>1622.075</v>
      </c>
      <c r="F53" s="96"/>
      <c r="G53" s="112"/>
      <c r="H53" s="83"/>
    </row>
    <row r="54" ht="15.75" customHeight="1">
      <c r="A54" s="86"/>
      <c r="B54" s="115"/>
      <c r="C54" s="113"/>
      <c r="D54" s="113"/>
      <c r="E54" s="113"/>
      <c r="F54" s="116"/>
      <c r="G54" s="116"/>
      <c r="H54" s="83"/>
    </row>
    <row r="55" ht="15.75" customHeight="1">
      <c r="A55" s="86"/>
      <c r="B55" s="117"/>
      <c r="C55" s="118" t="s">
        <v>88</v>
      </c>
      <c r="D55" s="118"/>
      <c r="E55" s="113"/>
      <c r="F55" s="116"/>
      <c r="G55" s="116"/>
      <c r="H55" s="83"/>
    </row>
    <row r="56" ht="15.75" customHeight="1">
      <c r="A56" s="86"/>
      <c r="B56" s="83"/>
      <c r="C56" s="120" t="s">
        <v>89</v>
      </c>
      <c r="D56" s="121"/>
      <c r="E56" s="55">
        <f>E53</f>
        <v>1622.075</v>
      </c>
      <c r="F56" s="122" t="s">
        <v>90</v>
      </c>
      <c r="G56" s="101"/>
      <c r="H56" s="83"/>
    </row>
    <row r="57" ht="15.75" customHeight="1">
      <c r="A57" s="86"/>
      <c r="B57" s="83"/>
      <c r="C57" s="120" t="s">
        <v>91</v>
      </c>
      <c r="D57" s="121"/>
      <c r="E57" s="123">
        <v>0.049</v>
      </c>
      <c r="F57" s="124" t="s">
        <v>92</v>
      </c>
      <c r="G57" s="125"/>
      <c r="H57" s="83"/>
    </row>
    <row r="58" ht="15.75" customHeight="1">
      <c r="A58" s="86"/>
      <c r="B58" s="83"/>
      <c r="C58" s="126" t="s">
        <v>93</v>
      </c>
      <c r="D58" s="127"/>
      <c r="E58" s="128">
        <v>72.0</v>
      </c>
      <c r="F58" s="129" t="s">
        <v>94</v>
      </c>
      <c r="G58" s="130"/>
      <c r="H58" s="83"/>
    </row>
    <row r="59" ht="15.75" customHeight="1">
      <c r="A59" s="109"/>
      <c r="B59" s="115"/>
      <c r="C59" s="112" t="s">
        <v>95</v>
      </c>
      <c r="D59" s="112"/>
      <c r="E59" s="131">
        <f>PMT(E57/12,E58,-E56)</f>
        <v>26.0482338</v>
      </c>
      <c r="F59" s="77"/>
      <c r="G59" s="131"/>
      <c r="H59" s="115"/>
    </row>
    <row r="60" ht="15.75" customHeight="1">
      <c r="A60" s="114"/>
      <c r="B60" s="115"/>
      <c r="C60" s="115"/>
      <c r="D60" s="115"/>
      <c r="E60" s="115"/>
      <c r="F60" s="115"/>
      <c r="G60" s="115"/>
      <c r="H60" s="132"/>
    </row>
    <row r="61" ht="15.75" customHeight="1">
      <c r="A61" s="114"/>
      <c r="B61" s="115"/>
      <c r="C61" s="115"/>
      <c r="D61" s="115"/>
      <c r="E61" s="115"/>
      <c r="F61" s="115"/>
      <c r="G61" s="115"/>
      <c r="H61" s="132" t="s">
        <v>96</v>
      </c>
    </row>
    <row r="62" ht="15.75" customHeight="1">
      <c r="A62" s="114"/>
      <c r="B62" s="115"/>
      <c r="C62" s="115"/>
      <c r="D62" s="115"/>
      <c r="E62" s="115"/>
      <c r="F62" s="115"/>
      <c r="G62" s="115"/>
      <c r="H62" s="115"/>
    </row>
  </sheetData>
  <mergeCells count="1">
    <mergeCell ref="F43:G46"/>
  </mergeCells>
  <conditionalFormatting sqref="C36:D37">
    <cfRule type="cellIs" dxfId="0" priority="1" operator="equal">
      <formula>0</formula>
    </cfRule>
  </conditionalFormatting>
  <conditionalFormatting sqref="B6 B38">
    <cfRule type="containsText" dxfId="9" priority="2" operator="containsText" text="Mopar">
      <formula>NOT(ISERROR(SEARCH(("Mopar"),(B6))))</formula>
    </cfRule>
  </conditionalFormatting>
  <conditionalFormatting sqref="E4:F40">
    <cfRule type="cellIs" dxfId="1" priority="3" operator="equal">
      <formula>0</formula>
    </cfRule>
  </conditionalFormatting>
  <conditionalFormatting sqref="A13">
    <cfRule type="expression" dxfId="2" priority="4">
      <formula>G23="x"</formula>
    </cfRule>
  </conditionalFormatting>
  <conditionalFormatting sqref="A16">
    <cfRule type="expression" dxfId="2" priority="5">
      <formula>G23="x"</formula>
    </cfRule>
  </conditionalFormatting>
  <conditionalFormatting sqref="A34">
    <cfRule type="expression" dxfId="2" priority="6">
      <formula>G23="x"</formula>
    </cfRule>
  </conditionalFormatting>
  <conditionalFormatting sqref="A33">
    <cfRule type="expression" dxfId="2" priority="7">
      <formula>G23="x"</formula>
    </cfRule>
  </conditionalFormatting>
  <conditionalFormatting sqref="C13">
    <cfRule type="expression" dxfId="0" priority="8">
      <formula>G17="x"</formula>
    </cfRule>
  </conditionalFormatting>
  <conditionalFormatting sqref="D13">
    <cfRule type="expression" dxfId="0" priority="9">
      <formula>G17="x"</formula>
    </cfRule>
  </conditionalFormatting>
  <conditionalFormatting sqref="C24">
    <cfRule type="expression" dxfId="0" priority="10">
      <formula>G17="x"</formula>
    </cfRule>
  </conditionalFormatting>
  <conditionalFormatting sqref="D24">
    <cfRule type="expression" dxfId="0" priority="11">
      <formula>G17="x"</formula>
    </cfRule>
  </conditionalFormatting>
  <conditionalFormatting sqref="C11">
    <cfRule type="expression" dxfId="0" priority="12">
      <formula>G22="x"</formula>
    </cfRule>
  </conditionalFormatting>
  <conditionalFormatting sqref="D11">
    <cfRule type="expression" dxfId="0" priority="13">
      <formula>G22="x"</formula>
    </cfRule>
  </conditionalFormatting>
  <conditionalFormatting sqref="C34">
    <cfRule type="expression" dxfId="0" priority="14">
      <formula>G22="x"</formula>
    </cfRule>
  </conditionalFormatting>
  <conditionalFormatting sqref="D34">
    <cfRule type="expression" dxfId="0" priority="15">
      <formula>G22="x"</formula>
    </cfRule>
  </conditionalFormatting>
  <conditionalFormatting sqref="G34">
    <cfRule type="expression" dxfId="2" priority="16">
      <formula>and(G22="x",G34="")</formula>
    </cfRule>
  </conditionalFormatting>
  <conditionalFormatting sqref="G11">
    <cfRule type="expression" dxfId="2" priority="17">
      <formula>and(G22="x",G11="")</formula>
    </cfRule>
  </conditionalFormatting>
  <conditionalFormatting sqref="G6">
    <cfRule type="expression" dxfId="10" priority="18">
      <formula>and(G5="x",G6="")</formula>
    </cfRule>
  </conditionalFormatting>
  <conditionalFormatting sqref="G5">
    <cfRule type="expression" dxfId="4" priority="19">
      <formula>and(G5="",G6="x")</formula>
    </cfRule>
  </conditionalFormatting>
  <conditionalFormatting sqref="G33">
    <cfRule type="expression" dxfId="10" priority="20">
      <formula>and(G7="x",G33="")</formula>
    </cfRule>
  </conditionalFormatting>
  <conditionalFormatting sqref="G16">
    <cfRule type="expression" dxfId="10" priority="21">
      <formula>and(G16="",G33="x")</formula>
    </cfRule>
  </conditionalFormatting>
  <conditionalFormatting sqref="G26">
    <cfRule type="expression" dxfId="10" priority="22">
      <formula>and(G26="",G8="x")</formula>
    </cfRule>
  </conditionalFormatting>
  <conditionalFormatting sqref="G13">
    <cfRule type="expression" dxfId="2" priority="23">
      <formula>and(G13="",G17="x")</formula>
    </cfRule>
  </conditionalFormatting>
  <conditionalFormatting sqref="G24">
    <cfRule type="expression" dxfId="2" priority="24">
      <formula>and(G24="",G17="x")</formula>
    </cfRule>
  </conditionalFormatting>
  <conditionalFormatting sqref="G13">
    <cfRule type="expression" dxfId="2" priority="25">
      <formula>and(G13="",G23="x")</formula>
    </cfRule>
  </conditionalFormatting>
  <conditionalFormatting sqref="G16">
    <cfRule type="expression" dxfId="2" priority="26">
      <formula>and(G16="",G23="x")</formula>
    </cfRule>
  </conditionalFormatting>
  <conditionalFormatting sqref="G34">
    <cfRule type="expression" dxfId="2" priority="27">
      <formula>and(G34="",G23="x")</formula>
    </cfRule>
  </conditionalFormatting>
  <conditionalFormatting sqref="G33">
    <cfRule type="expression" dxfId="2" priority="28">
      <formula>and(G33="",G23="x")</formula>
    </cfRule>
  </conditionalFormatting>
  <conditionalFormatting sqref="C13">
    <cfRule type="expression" dxfId="0" priority="29">
      <formula>G23="x"</formula>
    </cfRule>
  </conditionalFormatting>
  <conditionalFormatting sqref="D13">
    <cfRule type="expression" dxfId="0" priority="30">
      <formula>G23="x"</formula>
    </cfRule>
  </conditionalFormatting>
  <conditionalFormatting sqref="C16">
    <cfRule type="expression" dxfId="0" priority="31">
      <formula>G23="x"</formula>
    </cfRule>
  </conditionalFormatting>
  <conditionalFormatting sqref="D16">
    <cfRule type="expression" dxfId="0" priority="32">
      <formula>G23="x"</formula>
    </cfRule>
  </conditionalFormatting>
  <conditionalFormatting sqref="C33">
    <cfRule type="expression" dxfId="0" priority="33">
      <formula>G23="x"</formula>
    </cfRule>
  </conditionalFormatting>
  <conditionalFormatting sqref="D33">
    <cfRule type="expression" dxfId="0" priority="34">
      <formula>G23="x"</formula>
    </cfRule>
  </conditionalFormatting>
  <conditionalFormatting sqref="C34">
    <cfRule type="expression" dxfId="0" priority="35">
      <formula>G23="x"</formula>
    </cfRule>
  </conditionalFormatting>
  <conditionalFormatting sqref="D34">
    <cfRule type="expression" dxfId="0" priority="36">
      <formula>G23="x"</formula>
    </cfRule>
  </conditionalFormatting>
  <conditionalFormatting sqref="G4">
    <cfRule type="expression" dxfId="10" priority="37">
      <formula>and(G27="x",G4="")</formula>
    </cfRule>
  </conditionalFormatting>
  <conditionalFormatting sqref="G4">
    <cfRule type="expression" dxfId="5" priority="38">
      <formula>and(G5="x",G4="x")</formula>
    </cfRule>
  </conditionalFormatting>
  <conditionalFormatting sqref="C29">
    <cfRule type="expression" dxfId="0" priority="39">
      <formula>G33="x"</formula>
    </cfRule>
  </conditionalFormatting>
  <conditionalFormatting sqref="D29">
    <cfRule type="expression" dxfId="0" priority="40">
      <formula>G33="x"</formula>
    </cfRule>
  </conditionalFormatting>
  <conditionalFormatting sqref="G17">
    <cfRule type="expression" dxfId="10" priority="41">
      <formula>and(G20="x",and(G17="",G13=""))</formula>
    </cfRule>
  </conditionalFormatting>
  <conditionalFormatting sqref="G13">
    <cfRule type="expression" dxfId="10" priority="42">
      <formula>and(G20="x",G13="")</formula>
    </cfRule>
  </conditionalFormatting>
  <conditionalFormatting sqref="C10">
    <cfRule type="expression" dxfId="0" priority="43">
      <formula>G7="x"</formula>
    </cfRule>
  </conditionalFormatting>
  <conditionalFormatting sqref="D10">
    <cfRule type="expression" dxfId="0" priority="44">
      <formula>G7="x"</formula>
    </cfRule>
  </conditionalFormatting>
  <conditionalFormatting sqref="G29">
    <cfRule type="expression" dxfId="2" priority="45">
      <formula>and(G29="",G33="x")</formula>
    </cfRule>
  </conditionalFormatting>
  <conditionalFormatting sqref="A5">
    <cfRule type="expression" dxfId="11" priority="46">
      <formula>G4="x"</formula>
    </cfRule>
  </conditionalFormatting>
  <conditionalFormatting sqref="B5">
    <cfRule type="expression" dxfId="11" priority="47">
      <formula>G4="x"</formula>
    </cfRule>
  </conditionalFormatting>
  <conditionalFormatting sqref="C5">
    <cfRule type="expression" dxfId="11" priority="48">
      <formula>G4="x"</formula>
    </cfRule>
  </conditionalFormatting>
  <conditionalFormatting sqref="D5">
    <cfRule type="expression" dxfId="11" priority="49">
      <formula>G4="x"</formula>
    </cfRule>
  </conditionalFormatting>
  <conditionalFormatting sqref="A6">
    <cfRule type="expression" dxfId="11" priority="50">
      <formula>G4="x"</formula>
    </cfRule>
  </conditionalFormatting>
  <conditionalFormatting sqref="B6">
    <cfRule type="expression" dxfId="11" priority="51">
      <formula>G4="x"</formula>
    </cfRule>
  </conditionalFormatting>
  <conditionalFormatting sqref="C6">
    <cfRule type="expression" dxfId="11" priority="52">
      <formula>G4="x"</formula>
    </cfRule>
  </conditionalFormatting>
  <conditionalFormatting sqref="D6">
    <cfRule type="expression" dxfId="11" priority="53">
      <formula>G4="x"</formula>
    </cfRule>
  </conditionalFormatting>
  <conditionalFormatting sqref="C11">
    <cfRule type="expression" dxfId="0" priority="54">
      <formula>G6="x"</formula>
    </cfRule>
  </conditionalFormatting>
  <conditionalFormatting sqref="D11">
    <cfRule type="expression" dxfId="0" priority="55">
      <formula>G6="x"</formula>
    </cfRule>
  </conditionalFormatting>
  <conditionalFormatting sqref="A22">
    <cfRule type="expression" dxfId="7" priority="56">
      <formula>G5="x"</formula>
    </cfRule>
  </conditionalFormatting>
  <conditionalFormatting sqref="B22">
    <cfRule type="expression" dxfId="7" priority="57">
      <formula>G5="x"</formula>
    </cfRule>
  </conditionalFormatting>
  <conditionalFormatting sqref="C22">
    <cfRule type="expression" dxfId="7" priority="58">
      <formula>G5="x"</formula>
    </cfRule>
  </conditionalFormatting>
  <conditionalFormatting sqref="D22">
    <cfRule type="expression" dxfId="12" priority="59">
      <formula>G5="x"</formula>
    </cfRule>
  </conditionalFormatting>
  <conditionalFormatting sqref="G22">
    <cfRule type="expression" dxfId="13" priority="60">
      <formula>G5="x"</formula>
    </cfRule>
  </conditionalFormatting>
  <conditionalFormatting sqref="H4:H39">
    <cfRule type="containsText" dxfId="0" priority="61" operator="containsText" text="Include">
      <formula>NOT(ISERROR(SEARCH(("Include"),(H4))))</formula>
    </cfRule>
  </conditionalFormatting>
  <conditionalFormatting sqref="H4:H39">
    <cfRule type="containsText" dxfId="6" priority="62" operator="containsText" text="Reduce">
      <formula>NOT(ISERROR(SEARCH(("Reduce"),(H4))))</formula>
    </cfRule>
  </conditionalFormatting>
  <conditionalFormatting sqref="H4:H39">
    <cfRule type="containsText" dxfId="5" priority="63" operator="containsText" text="N/A">
      <formula>NOT(ISERROR(SEARCH(("N/A"),(H4))))</formula>
    </cfRule>
  </conditionalFormatting>
  <conditionalFormatting sqref="H4:H39">
    <cfRule type="containsText" dxfId="5" priority="64" operator="containsText" text="Require">
      <formula>NOT(ISERROR(SEARCH(("Require"),(H4))))</formula>
    </cfRule>
  </conditionalFormatting>
  <conditionalFormatting sqref="H4:H39">
    <cfRule type="containsText" dxfId="5" priority="65" operator="containsText" text="Only">
      <formula>NOT(ISERROR(SEARCH(("Only"),(H4))))</formula>
    </cfRule>
  </conditionalFormatting>
  <conditionalFormatting sqref="B4:B39">
    <cfRule type="expression" dxfId="8" priority="66">
      <formula>G4:G39="x"</formula>
    </cfRule>
  </conditionalFormatting>
  <conditionalFormatting sqref="E4:E39">
    <cfRule type="expression" dxfId="14" priority="67">
      <formula>G4:G39="x"</formula>
    </cfRule>
  </conditionalFormatting>
  <conditionalFormatting sqref="F4:F39">
    <cfRule type="expression" dxfId="14" priority="68">
      <formula>G4:G39="x"</formula>
    </cfRule>
  </conditionalFormatting>
  <dataValidations>
    <dataValidation type="list" allowBlank="1" sqref="C45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60.86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153</v>
      </c>
    </row>
    <row r="3">
      <c r="A3" s="33" t="s">
        <v>111</v>
      </c>
      <c r="B3" s="142" t="s">
        <v>112</v>
      </c>
      <c r="C3" s="35">
        <v>38104.0</v>
      </c>
      <c r="D3" s="35">
        <v>39260.0</v>
      </c>
      <c r="E3" s="36">
        <f t="shared" ref="E3:E35" si="1">IF(G3="x",C3,0)</f>
        <v>38104</v>
      </c>
      <c r="F3" s="36">
        <f t="shared" ref="F3:F35" si="2">IF(G3="x",D3,0)</f>
        <v>39260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1800</v>
      </c>
      <c r="F5" s="43">
        <f t="shared" si="2"/>
        <v>2000</v>
      </c>
      <c r="G5" s="44" t="s">
        <v>154</v>
      </c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3600</v>
      </c>
      <c r="F6" s="43">
        <f t="shared" si="2"/>
        <v>4000</v>
      </c>
      <c r="G6" s="44" t="s">
        <v>154</v>
      </c>
      <c r="H6" s="47" t="str">
        <f>if(and(G6="x",G5=""),"Requires DFV 8-Speed Transmission","")</f>
        <v/>
      </c>
    </row>
    <row r="7">
      <c r="A7" s="145" t="s">
        <v>114</v>
      </c>
      <c r="B7" s="146" t="s">
        <v>115</v>
      </c>
      <c r="C7" s="41">
        <v>1796.0</v>
      </c>
      <c r="D7" s="41">
        <v>1995.0</v>
      </c>
      <c r="E7" s="43">
        <f t="shared" si="1"/>
        <v>1796</v>
      </c>
      <c r="F7" s="43">
        <f t="shared" si="2"/>
        <v>1995</v>
      </c>
      <c r="G7" s="44" t="s">
        <v>30</v>
      </c>
      <c r="H7" s="149" t="str">
        <f>if(and(G7="x",G30=""),"Requires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if(and(G8="x",G23=""),"Requires Safety Group (AJ1)","")</f>
        <v/>
      </c>
    </row>
    <row r="9" ht="15.75" customHeight="1">
      <c r="A9" s="156" t="s">
        <v>38</v>
      </c>
      <c r="B9" s="157" t="s">
        <v>118</v>
      </c>
      <c r="C9" s="158">
        <v>0.0</v>
      </c>
      <c r="D9" s="158">
        <v>0.0</v>
      </c>
      <c r="E9" s="43">
        <f t="shared" si="1"/>
        <v>0</v>
      </c>
      <c r="F9" s="43">
        <f t="shared" si="2"/>
        <v>0</v>
      </c>
      <c r="G9" s="159" t="s">
        <v>30</v>
      </c>
      <c r="H9" s="149" t="s">
        <v>155</v>
      </c>
    </row>
    <row r="10" ht="15.75" customHeight="1">
      <c r="A10" s="39" t="s">
        <v>119</v>
      </c>
      <c r="B10" s="148" t="s">
        <v>120</v>
      </c>
      <c r="C10" s="49">
        <f>if(G7="x",0,1166)</f>
        <v>0</v>
      </c>
      <c r="D10" s="50">
        <f>if(G7="x",0,1295)</f>
        <v>0</v>
      </c>
      <c r="E10" s="43">
        <f t="shared" si="1"/>
        <v>0</v>
      </c>
      <c r="F10" s="43">
        <f t="shared" si="2"/>
        <v>0</v>
      </c>
      <c r="G10" s="160" t="s">
        <v>154</v>
      </c>
      <c r="H10" s="149" t="str">
        <f>if(G7="x","Included with Premium Audio Group","")</f>
        <v>Included with Premium Audio Group</v>
      </c>
    </row>
    <row r="11">
      <c r="A11" s="39" t="s">
        <v>42</v>
      </c>
      <c r="B11" s="148" t="s">
        <v>122</v>
      </c>
      <c r="C11" s="41">
        <v>266.0</v>
      </c>
      <c r="D11" s="42">
        <v>295.0</v>
      </c>
      <c r="E11" s="43">
        <f t="shared" si="1"/>
        <v>266</v>
      </c>
      <c r="F11" s="43">
        <f t="shared" si="2"/>
        <v>295</v>
      </c>
      <c r="G11" s="44" t="s">
        <v>154</v>
      </c>
      <c r="H11" s="147"/>
    </row>
    <row r="12" ht="15.75" customHeight="1">
      <c r="A12" s="39" t="s">
        <v>44</v>
      </c>
      <c r="B12" s="148" t="s">
        <v>123</v>
      </c>
      <c r="C12" s="50">
        <f>if(G16="x",0,1256)</f>
        <v>1256</v>
      </c>
      <c r="D12" s="50">
        <f>if(G16="x",0,1395)</f>
        <v>1395</v>
      </c>
      <c r="E12" s="43">
        <f t="shared" si="1"/>
        <v>1256</v>
      </c>
      <c r="F12" s="43">
        <f t="shared" si="2"/>
        <v>1395</v>
      </c>
      <c r="G12" s="44" t="s">
        <v>154</v>
      </c>
      <c r="H12" s="147" t="str">
        <f>if(G16="x","Included with Dual Top Group (AEN) or Popular Equipment Package (AEH)","")</f>
        <v/>
      </c>
    </row>
    <row r="13">
      <c r="A13" s="39" t="s">
        <v>124</v>
      </c>
      <c r="B13" s="148" t="s">
        <v>125</v>
      </c>
      <c r="C13" s="41">
        <v>806.0</v>
      </c>
      <c r="D13" s="42">
        <v>895.0</v>
      </c>
      <c r="E13" s="43">
        <f t="shared" si="1"/>
        <v>0</v>
      </c>
      <c r="F13" s="43">
        <f t="shared" si="2"/>
        <v>0</v>
      </c>
      <c r="G13" s="44"/>
      <c r="H13" s="147"/>
    </row>
    <row r="14">
      <c r="A14" s="39" t="s">
        <v>126</v>
      </c>
      <c r="B14" s="148" t="s">
        <v>127</v>
      </c>
      <c r="C14" s="161">
        <v>626.0</v>
      </c>
      <c r="D14" s="46">
        <v>695.0</v>
      </c>
      <c r="E14" s="43">
        <f t="shared" si="1"/>
        <v>626</v>
      </c>
      <c r="F14" s="43">
        <f t="shared" si="2"/>
        <v>695</v>
      </c>
      <c r="G14" s="44" t="s">
        <v>154</v>
      </c>
      <c r="H14" s="51"/>
    </row>
    <row r="15">
      <c r="A15" s="156" t="s">
        <v>128</v>
      </c>
      <c r="B15" s="157" t="s">
        <v>129</v>
      </c>
      <c r="C15" s="158">
        <v>0.0</v>
      </c>
      <c r="D15" s="158">
        <v>0.0</v>
      </c>
      <c r="E15" s="43">
        <f t="shared" si="1"/>
        <v>0</v>
      </c>
      <c r="F15" s="43">
        <f t="shared" si="2"/>
        <v>0</v>
      </c>
      <c r="G15" s="159" t="s">
        <v>30</v>
      </c>
      <c r="H15" s="149" t="s">
        <v>155</v>
      </c>
    </row>
    <row r="16">
      <c r="A16" s="39" t="s">
        <v>130</v>
      </c>
      <c r="B16" s="148" t="s">
        <v>131</v>
      </c>
      <c r="C16" s="41">
        <v>2156.0</v>
      </c>
      <c r="D16" s="41">
        <v>2395.0</v>
      </c>
      <c r="E16" s="43">
        <f t="shared" si="1"/>
        <v>0</v>
      </c>
      <c r="F16" s="43">
        <f t="shared" si="2"/>
        <v>0</v>
      </c>
      <c r="G16" s="44"/>
      <c r="H16" s="149" t="str">
        <f>if(AND(G16="x",G22="",G33="",G34=""),"Requires Tonneau Option;Roll-Up (CSD), Hard Tri-fold (CSU) or Soft Tri-fold (CT6)","")</f>
        <v/>
      </c>
    </row>
    <row r="17">
      <c r="A17" s="145" t="s">
        <v>48</v>
      </c>
      <c r="B17" s="146" t="s">
        <v>49</v>
      </c>
      <c r="C17" s="41">
        <v>86.0</v>
      </c>
      <c r="D17" s="42">
        <v>95.0</v>
      </c>
      <c r="E17" s="43">
        <f t="shared" si="1"/>
        <v>0</v>
      </c>
      <c r="F17" s="43">
        <f t="shared" si="2"/>
        <v>0</v>
      </c>
      <c r="G17" s="44"/>
      <c r="H17" s="147"/>
    </row>
    <row r="18" ht="15.75" customHeight="1">
      <c r="A18" s="39" t="s">
        <v>132</v>
      </c>
      <c r="B18" s="148" t="s">
        <v>133</v>
      </c>
      <c r="C18" s="41">
        <v>913.0</v>
      </c>
      <c r="D18" s="41">
        <v>1015.0</v>
      </c>
      <c r="E18" s="43">
        <f t="shared" si="1"/>
        <v>0</v>
      </c>
      <c r="F18" s="43">
        <f t="shared" si="2"/>
        <v>0</v>
      </c>
      <c r="G18" s="44"/>
      <c r="H18" s="149" t="str">
        <f>(if(and(G15="x",G23=""),"Requires Safety Group (AJ1)",""))</f>
        <v>Requires Safety Group (AJ1)</v>
      </c>
    </row>
    <row r="19" ht="15.75" customHeight="1">
      <c r="A19" s="39" t="s">
        <v>134</v>
      </c>
      <c r="B19" s="148" t="s">
        <v>135</v>
      </c>
      <c r="C19" s="41">
        <v>500.0</v>
      </c>
      <c r="D19" s="41">
        <v>595.0</v>
      </c>
      <c r="E19" s="43">
        <f t="shared" si="1"/>
        <v>0</v>
      </c>
      <c r="F19" s="43">
        <f t="shared" si="2"/>
        <v>0</v>
      </c>
      <c r="G19" s="44"/>
      <c r="H19" s="149" t="str">
        <f>if(G19="x",if(or(G16="x",G12="x"),"","Requires Dual Top Group (AEN) or Black 3-Pc Hard Top (HT1)"),"")</f>
        <v/>
      </c>
    </row>
    <row r="20">
      <c r="A20" s="39" t="s">
        <v>50</v>
      </c>
      <c r="B20" s="148" t="s">
        <v>51</v>
      </c>
      <c r="C20" s="41">
        <v>180.0</v>
      </c>
      <c r="D20" s="41">
        <v>200.0</v>
      </c>
      <c r="E20" s="43">
        <f t="shared" si="1"/>
        <v>0</v>
      </c>
      <c r="F20" s="43">
        <f t="shared" si="2"/>
        <v>0</v>
      </c>
      <c r="G20" s="44"/>
      <c r="H20" s="52"/>
    </row>
    <row r="21">
      <c r="A21" s="39" t="s">
        <v>138</v>
      </c>
      <c r="B21" s="148" t="s">
        <v>139</v>
      </c>
      <c r="C21" s="49">
        <f>if(G16="x",0,536)</f>
        <v>536</v>
      </c>
      <c r="D21" s="50">
        <f>if(G16="x",0,595)</f>
        <v>595</v>
      </c>
      <c r="E21" s="43">
        <f t="shared" si="1"/>
        <v>0</v>
      </c>
      <c r="F21" s="43">
        <f t="shared" si="2"/>
        <v>0</v>
      </c>
      <c r="G21" s="44"/>
      <c r="H21" s="147" t="str">
        <f>if(G16="x","Included with AEN (Dual Top Group)[F17]","")</f>
        <v/>
      </c>
    </row>
    <row r="22" ht="15.75" customHeight="1">
      <c r="A22" s="39" t="s">
        <v>54</v>
      </c>
      <c r="B22" s="148" t="s">
        <v>55</v>
      </c>
      <c r="C22" s="41">
        <v>536.0</v>
      </c>
      <c r="D22" s="41">
        <v>595.0</v>
      </c>
      <c r="E22" s="43">
        <f t="shared" si="1"/>
        <v>0</v>
      </c>
      <c r="F22" s="43">
        <f t="shared" si="2"/>
        <v>0</v>
      </c>
      <c r="G22" s="44"/>
      <c r="H22" s="52" t="str">
        <f>if(G34="x","N/A with Mopar Soft Tri-fold (CT6) [F23]","")</f>
        <v/>
      </c>
    </row>
    <row r="23">
      <c r="A23" s="39" t="s">
        <v>140</v>
      </c>
      <c r="B23" s="148" t="s">
        <v>141</v>
      </c>
      <c r="C23" s="41">
        <v>896.0</v>
      </c>
      <c r="D23" s="42">
        <v>995.0</v>
      </c>
      <c r="E23" s="43">
        <f t="shared" si="1"/>
        <v>0</v>
      </c>
      <c r="F23" s="43">
        <f t="shared" si="2"/>
        <v>0</v>
      </c>
      <c r="G23" s="44"/>
      <c r="H23" s="147"/>
    </row>
    <row r="24" ht="15.75" customHeight="1">
      <c r="A24" s="39" t="s">
        <v>142</v>
      </c>
      <c r="B24" s="148" t="s">
        <v>143</v>
      </c>
      <c r="C24" s="41">
        <v>626.0</v>
      </c>
      <c r="D24" s="41">
        <v>695.0</v>
      </c>
      <c r="E24" s="43">
        <f t="shared" si="1"/>
        <v>0</v>
      </c>
      <c r="F24" s="43">
        <f t="shared" si="2"/>
        <v>0</v>
      </c>
      <c r="G24" s="44"/>
      <c r="H24" s="149" t="str">
        <f>if(and(G24="x",G4=""),"Requires 8-Speed Automatic 850Re Transmission (DFT)","")</f>
        <v/>
      </c>
    </row>
    <row r="25" ht="15.75" customHeight="1">
      <c r="A25" s="39" t="s">
        <v>144</v>
      </c>
      <c r="B25" s="148" t="s">
        <v>145</v>
      </c>
      <c r="C25" s="41">
        <v>626.0</v>
      </c>
      <c r="D25" s="42">
        <v>695.0</v>
      </c>
      <c r="E25" s="43">
        <f t="shared" si="1"/>
        <v>0</v>
      </c>
      <c r="F25" s="43">
        <f t="shared" si="2"/>
        <v>0</v>
      </c>
      <c r="G25" s="44"/>
      <c r="H25" s="147"/>
    </row>
    <row r="26" ht="15.75" customHeight="1">
      <c r="A26" s="39" t="s">
        <v>56</v>
      </c>
      <c r="B26" s="148" t="s">
        <v>57</v>
      </c>
      <c r="C26" s="50">
        <f>if(G30="x",0,266)</f>
        <v>0</v>
      </c>
      <c r="D26" s="50">
        <f>if(G30="x",0,295)</f>
        <v>0</v>
      </c>
      <c r="E26" s="43">
        <f t="shared" si="1"/>
        <v>0</v>
      </c>
      <c r="F26" s="43">
        <f t="shared" si="2"/>
        <v>0</v>
      </c>
      <c r="G26" s="159" t="s">
        <v>30</v>
      </c>
      <c r="H26" s="149" t="str">
        <f>if(G30="x","Included with Technology Group (AAN)","")</f>
        <v>Included with Technology Group (AAN)</v>
      </c>
    </row>
    <row r="27">
      <c r="A27" s="39" t="s">
        <v>146</v>
      </c>
      <c r="B27" s="148" t="s">
        <v>59</v>
      </c>
      <c r="C27" s="42">
        <v>27.0</v>
      </c>
      <c r="D27" s="42">
        <v>30.0</v>
      </c>
      <c r="E27" s="43">
        <f t="shared" si="1"/>
        <v>0</v>
      </c>
      <c r="F27" s="43">
        <f t="shared" si="2"/>
        <v>0</v>
      </c>
      <c r="G27" s="44"/>
      <c r="H27" s="147"/>
    </row>
    <row r="28" ht="15.75" customHeight="1">
      <c r="A28" s="39" t="s">
        <v>60</v>
      </c>
      <c r="B28" s="148" t="s">
        <v>61</v>
      </c>
      <c r="C28" s="41">
        <v>68.0</v>
      </c>
      <c r="D28" s="42">
        <v>75.0</v>
      </c>
      <c r="E28" s="43">
        <f t="shared" si="1"/>
        <v>0</v>
      </c>
      <c r="F28" s="43">
        <f t="shared" si="2"/>
        <v>0</v>
      </c>
      <c r="G28" s="44"/>
      <c r="H28" s="149" t="str">
        <f>if(G28="x",if(or(G16="x",G21="x"),"","Requires STB (Premium Soft Top)[F18] or AEN (Dual Top Group)[F17]"),"")</f>
        <v/>
      </c>
    </row>
    <row r="29" ht="15.75" customHeight="1">
      <c r="A29" s="39" t="s">
        <v>62</v>
      </c>
      <c r="B29" s="148" t="s">
        <v>63</v>
      </c>
      <c r="C29" s="41">
        <v>446.0</v>
      </c>
      <c r="D29" s="42">
        <v>495.0</v>
      </c>
      <c r="E29" s="43">
        <f t="shared" si="1"/>
        <v>446</v>
      </c>
      <c r="F29" s="43">
        <f t="shared" si="2"/>
        <v>495</v>
      </c>
      <c r="G29" s="44" t="s">
        <v>30</v>
      </c>
      <c r="H29" s="147"/>
    </row>
    <row r="30">
      <c r="A30" s="156" t="s">
        <v>147</v>
      </c>
      <c r="B30" s="157" t="s">
        <v>148</v>
      </c>
      <c r="C30" s="158">
        <v>0.0</v>
      </c>
      <c r="D30" s="158">
        <v>0.0</v>
      </c>
      <c r="E30" s="43">
        <f t="shared" si="1"/>
        <v>0</v>
      </c>
      <c r="F30" s="43">
        <f t="shared" si="2"/>
        <v>0</v>
      </c>
      <c r="G30" s="159" t="s">
        <v>30</v>
      </c>
      <c r="H30" s="162" t="s">
        <v>155</v>
      </c>
    </row>
    <row r="31">
      <c r="A31" s="39" t="s">
        <v>64</v>
      </c>
      <c r="B31" s="148" t="s">
        <v>149</v>
      </c>
      <c r="C31" s="46">
        <v>316.0</v>
      </c>
      <c r="D31" s="46">
        <v>350.0</v>
      </c>
      <c r="E31" s="43">
        <f t="shared" si="1"/>
        <v>316</v>
      </c>
      <c r="F31" s="43">
        <f t="shared" si="2"/>
        <v>350</v>
      </c>
      <c r="G31" s="44" t="s">
        <v>30</v>
      </c>
      <c r="H31" s="149"/>
    </row>
    <row r="32" ht="15.75" customHeight="1">
      <c r="A32" s="39" t="s">
        <v>150</v>
      </c>
      <c r="B32" s="148" t="s">
        <v>151</v>
      </c>
      <c r="C32" s="41">
        <v>266.0</v>
      </c>
      <c r="D32" s="42">
        <v>295.0</v>
      </c>
      <c r="E32" s="43">
        <f t="shared" si="1"/>
        <v>0</v>
      </c>
      <c r="F32" s="43">
        <f t="shared" si="2"/>
        <v>0</v>
      </c>
      <c r="G32" s="44"/>
      <c r="H32" s="149" t="str">
        <f>if(G32="x",if(or(G7="x",G10="x"),"","Requires 8.4 Radio (AEK) or Alpine Premium Audio (RC4)"),"")</f>
        <v/>
      </c>
    </row>
    <row r="33" ht="15.75" customHeight="1">
      <c r="A33" s="39" t="s">
        <v>66</v>
      </c>
      <c r="B33" s="148" t="s">
        <v>67</v>
      </c>
      <c r="C33" s="53">
        <v>896.0</v>
      </c>
      <c r="D33" s="53">
        <v>995.0</v>
      </c>
      <c r="E33" s="43">
        <f t="shared" si="1"/>
        <v>0</v>
      </c>
      <c r="F33" s="43">
        <f t="shared" si="2"/>
        <v>0</v>
      </c>
      <c r="G33" s="44"/>
      <c r="H33" s="52" t="str">
        <f>if(or(G22="x",G34="x"),"N/A with Roll-Up Tonneau (CSD) [F21] or Mopar Soft Tri-fold (CT6) [F23]","")</f>
        <v/>
      </c>
    </row>
    <row r="34" ht="15.75" customHeight="1">
      <c r="A34" s="39" t="s">
        <v>68</v>
      </c>
      <c r="B34" s="148" t="s">
        <v>69</v>
      </c>
      <c r="C34" s="53">
        <v>563.0</v>
      </c>
      <c r="D34" s="53">
        <v>625.0</v>
      </c>
      <c r="E34" s="43">
        <f t="shared" si="1"/>
        <v>0</v>
      </c>
      <c r="F34" s="43">
        <f t="shared" si="2"/>
        <v>0</v>
      </c>
      <c r="G34" s="54"/>
      <c r="H34" s="48" t="str">
        <f>if(or(G22="x",G33="x"),"N/A with Roll-Up Tonneau (CSD) [F21] or Mopar Hard Tri-fold (CSU) [F22]","")</f>
        <v/>
      </c>
    </row>
    <row r="35">
      <c r="A35" s="39"/>
      <c r="B35" s="40" t="s">
        <v>70</v>
      </c>
      <c r="C35" s="41">
        <v>220.0</v>
      </c>
      <c r="D35" s="41">
        <v>245.0</v>
      </c>
      <c r="E35" s="43">
        <f t="shared" si="1"/>
        <v>220</v>
      </c>
      <c r="F35" s="55">
        <f t="shared" si="2"/>
        <v>245</v>
      </c>
      <c r="G35" s="150" t="s">
        <v>30</v>
      </c>
      <c r="H35" s="57" t="s">
        <v>71</v>
      </c>
    </row>
    <row r="36">
      <c r="A36" s="58"/>
      <c r="B36" s="151" t="str">
        <f>'Mopar Add-Ons'!B24</f>
        <v>Total Mopar Add-On Cost</v>
      </c>
      <c r="C36" s="60"/>
      <c r="D36" s="60"/>
      <c r="E36" s="61">
        <f>'Mopar Add-Ons'!E24</f>
        <v>0</v>
      </c>
      <c r="F36" s="61">
        <f>'Mopar Add-Ons'!F24</f>
        <v>0</v>
      </c>
      <c r="G36" s="152"/>
      <c r="H36" s="64" t="str">
        <f>'Mopar Add-Ons'!H24</f>
        <v>Price pulled from sheet "Mopar Add-Ons"</v>
      </c>
    </row>
    <row r="37">
      <c r="A37" s="65"/>
      <c r="B37" s="153" t="s">
        <v>72</v>
      </c>
      <c r="C37" s="153"/>
      <c r="D37" s="153"/>
      <c r="E37" s="69">
        <f t="shared" ref="E37:F37" si="3">SUM(E3:E36)</f>
        <v>48430</v>
      </c>
      <c r="F37" s="69">
        <f t="shared" si="3"/>
        <v>50730</v>
      </c>
      <c r="G37" s="154"/>
      <c r="H37" s="154"/>
    </row>
    <row r="38" ht="15.75" customHeight="1">
      <c r="A38" s="155"/>
      <c r="B38" s="73" t="s">
        <v>73</v>
      </c>
      <c r="C38" s="74"/>
      <c r="D38" s="74"/>
      <c r="E38" s="75"/>
      <c r="F38" s="76">
        <f>F37+D54</f>
        <v>50730</v>
      </c>
      <c r="G38" s="72"/>
      <c r="H38" s="83"/>
    </row>
    <row r="39" ht="15.75" customHeight="1">
      <c r="A39" s="72"/>
      <c r="B39" s="72"/>
      <c r="C39" s="72"/>
      <c r="D39" s="72"/>
      <c r="E39" s="72"/>
      <c r="F39" s="72"/>
      <c r="G39" s="72"/>
      <c r="H39" s="83"/>
    </row>
    <row r="40" ht="15.0" customHeight="1">
      <c r="A40" s="78"/>
      <c r="B40" s="79" t="s">
        <v>23</v>
      </c>
      <c r="C40" s="80"/>
      <c r="D40" s="80">
        <f>F37</f>
        <v>50730</v>
      </c>
      <c r="E40" s="44"/>
      <c r="F40" s="81" t="s">
        <v>156</v>
      </c>
      <c r="G40" s="82"/>
      <c r="H40" s="134" t="s">
        <v>100</v>
      </c>
    </row>
    <row r="41" ht="15.0" customHeight="1">
      <c r="A41" s="78"/>
      <c r="B41" s="79" t="s">
        <v>22</v>
      </c>
      <c r="C41" s="80"/>
      <c r="D41" s="80">
        <f>E37</f>
        <v>48430</v>
      </c>
      <c r="E41" s="44"/>
      <c r="G41" s="84"/>
      <c r="H41" s="135" t="s">
        <v>101</v>
      </c>
    </row>
    <row r="42" ht="15.75" customHeight="1">
      <c r="A42" s="78"/>
      <c r="B42" s="79" t="s">
        <v>75</v>
      </c>
      <c r="C42" s="85">
        <v>0.07</v>
      </c>
      <c r="D42" s="80">
        <f>E37*(1-C42)</f>
        <v>45039.9</v>
      </c>
      <c r="E42" s="44"/>
      <c r="G42" s="84"/>
      <c r="H42" s="136" t="s">
        <v>157</v>
      </c>
    </row>
    <row r="43" ht="15.75" customHeight="1">
      <c r="A43" s="78"/>
      <c r="B43" s="87" t="s">
        <v>18</v>
      </c>
      <c r="C43" s="88"/>
      <c r="D43" s="89"/>
      <c r="E43" s="89"/>
      <c r="F43" s="90"/>
      <c r="G43" s="91"/>
      <c r="H43" s="136" t="s">
        <v>102</v>
      </c>
    </row>
    <row r="44" ht="15.75" customHeight="1">
      <c r="A44" s="78"/>
      <c r="B44" s="92" t="s">
        <v>76</v>
      </c>
      <c r="C44" s="93"/>
      <c r="D44" s="93">
        <v>1495.0</v>
      </c>
      <c r="E44" s="94">
        <f>(((SUM(((IF(E40="x",D40,0))+IF(E41="x",D41,0))+IF(E42="x",D42,0))+(IF(E43="x",D43,0))))+D44)</f>
        <v>1495</v>
      </c>
      <c r="F44" s="95"/>
      <c r="G44" s="96"/>
      <c r="H44" s="136" t="s">
        <v>158</v>
      </c>
    </row>
    <row r="45" ht="15.75" customHeight="1">
      <c r="A45" s="78"/>
      <c r="B45" s="163" t="s">
        <v>159</v>
      </c>
      <c r="C45" s="98"/>
      <c r="D45" s="98"/>
      <c r="E45" s="99"/>
      <c r="F45" s="100" t="s">
        <v>78</v>
      </c>
      <c r="G45" s="101"/>
      <c r="H45" s="136" t="s">
        <v>103</v>
      </c>
    </row>
    <row r="46" ht="15.75" customHeight="1">
      <c r="A46" s="78"/>
      <c r="B46" s="97" t="s">
        <v>79</v>
      </c>
      <c r="C46" s="98"/>
      <c r="D46" s="98"/>
      <c r="E46" s="99"/>
      <c r="F46" s="100" t="s">
        <v>80</v>
      </c>
      <c r="G46" s="101"/>
      <c r="H46" s="136" t="s">
        <v>104</v>
      </c>
    </row>
    <row r="47" ht="15.75" customHeight="1">
      <c r="A47" s="78"/>
      <c r="B47" s="97" t="s">
        <v>81</v>
      </c>
      <c r="C47" s="102"/>
      <c r="D47" s="102"/>
      <c r="E47" s="103"/>
      <c r="F47" s="100" t="s">
        <v>82</v>
      </c>
      <c r="G47" s="101"/>
      <c r="H47" s="136" t="s">
        <v>105</v>
      </c>
    </row>
    <row r="48" ht="15.75" customHeight="1">
      <c r="A48" s="78"/>
      <c r="B48" s="97" t="s">
        <v>83</v>
      </c>
      <c r="C48" s="102"/>
      <c r="D48" s="102"/>
      <c r="E48" s="103"/>
      <c r="F48" s="100" t="s">
        <v>84</v>
      </c>
      <c r="G48" s="101"/>
      <c r="H48" s="135" t="s">
        <v>106</v>
      </c>
    </row>
    <row r="49" ht="15.75" customHeight="1">
      <c r="A49" s="86"/>
      <c r="B49" s="104" t="s">
        <v>85</v>
      </c>
      <c r="C49" s="105"/>
      <c r="D49" s="164">
        <v>0.0</v>
      </c>
      <c r="E49" s="107">
        <f>(E44-E45+E47+E48)*D49</f>
        <v>0</v>
      </c>
      <c r="F49" s="100" t="s">
        <v>86</v>
      </c>
      <c r="G49" s="101"/>
      <c r="H49" s="136" t="s">
        <v>107</v>
      </c>
    </row>
    <row r="50" ht="15.75" customHeight="1">
      <c r="A50" s="86"/>
      <c r="B50" s="110" t="s">
        <v>87</v>
      </c>
      <c r="C50" s="111"/>
      <c r="D50" s="111"/>
      <c r="E50" s="111">
        <f>sum(E44-E45-E46+E47+E48+E49)</f>
        <v>1495</v>
      </c>
      <c r="F50" s="96"/>
      <c r="G50" s="112"/>
      <c r="H50" s="137" t="s">
        <v>160</v>
      </c>
    </row>
    <row r="51" ht="15.75" customHeight="1">
      <c r="A51" s="86"/>
      <c r="B51" s="115"/>
      <c r="C51" s="113"/>
      <c r="D51" s="113"/>
      <c r="E51" s="113"/>
      <c r="F51" s="116"/>
      <c r="G51" s="116"/>
      <c r="H51" s="83"/>
    </row>
    <row r="52" ht="15.75" customHeight="1">
      <c r="A52" s="86"/>
      <c r="B52" s="117"/>
      <c r="C52" s="118" t="s">
        <v>88</v>
      </c>
      <c r="D52" s="118"/>
      <c r="E52" s="113"/>
      <c r="F52" s="116"/>
      <c r="G52" s="116"/>
      <c r="H52" s="83"/>
    </row>
    <row r="53" ht="15.75" customHeight="1">
      <c r="A53" s="86"/>
      <c r="B53" s="83"/>
      <c r="C53" s="120" t="s">
        <v>89</v>
      </c>
      <c r="D53" s="121"/>
      <c r="E53" s="55">
        <f>E50</f>
        <v>1495</v>
      </c>
      <c r="F53" s="122" t="s">
        <v>90</v>
      </c>
      <c r="G53" s="101"/>
      <c r="H53" s="83"/>
    </row>
    <row r="54" ht="15.75" customHeight="1">
      <c r="A54" s="86"/>
      <c r="B54" s="83"/>
      <c r="C54" s="120" t="s">
        <v>91</v>
      </c>
      <c r="D54" s="121"/>
      <c r="E54" s="123">
        <v>0.029</v>
      </c>
      <c r="F54" s="124" t="s">
        <v>92</v>
      </c>
      <c r="G54" s="125"/>
      <c r="H54" s="83"/>
    </row>
    <row r="55" ht="15.75" customHeight="1">
      <c r="A55" s="86"/>
      <c r="B55" s="83"/>
      <c r="C55" s="126" t="s">
        <v>93</v>
      </c>
      <c r="D55" s="127"/>
      <c r="E55" s="128">
        <v>72.0</v>
      </c>
      <c r="F55" s="129" t="s">
        <v>94</v>
      </c>
      <c r="G55" s="130"/>
      <c r="H55" s="83"/>
    </row>
    <row r="56" ht="15.75" customHeight="1">
      <c r="A56" s="109"/>
      <c r="B56" s="115"/>
      <c r="C56" s="112" t="s">
        <v>95</v>
      </c>
      <c r="D56" s="112"/>
      <c r="E56" s="131">
        <f>PMT(E54/12,E55,-E53)</f>
        <v>22.6477246</v>
      </c>
      <c r="F56" s="77"/>
      <c r="G56" s="131"/>
      <c r="H56" s="115"/>
    </row>
    <row r="57" ht="15.75" customHeight="1">
      <c r="A57" s="114"/>
      <c r="B57" s="115"/>
      <c r="C57" s="115"/>
      <c r="D57" s="115"/>
      <c r="E57" s="115"/>
      <c r="F57" s="115"/>
      <c r="G57" s="115"/>
      <c r="H57" s="132"/>
    </row>
    <row r="58" ht="15.75" customHeight="1">
      <c r="A58" s="114"/>
      <c r="B58" s="115"/>
      <c r="C58" s="115"/>
      <c r="D58" s="115"/>
      <c r="E58" s="115"/>
      <c r="F58" s="115"/>
      <c r="G58" s="115"/>
      <c r="H58" s="132" t="s">
        <v>96</v>
      </c>
    </row>
    <row r="59" ht="15.75" customHeight="1">
      <c r="A59" s="114"/>
      <c r="B59" s="115"/>
      <c r="C59" s="115"/>
      <c r="D59" s="115"/>
      <c r="E59" s="115"/>
      <c r="F59" s="115"/>
      <c r="G59" s="115"/>
      <c r="H59" s="115"/>
    </row>
  </sheetData>
  <mergeCells count="1">
    <mergeCell ref="F40:G43"/>
  </mergeCells>
  <conditionalFormatting sqref="B18">
    <cfRule type="expression" dxfId="8" priority="1">
      <formula>G18:G53="x"</formula>
    </cfRule>
  </conditionalFormatting>
  <conditionalFormatting sqref="E18">
    <cfRule type="expression" dxfId="14" priority="2">
      <formula>G18:G53="x"</formula>
    </cfRule>
  </conditionalFormatting>
  <conditionalFormatting sqref="F18">
    <cfRule type="expression" dxfId="14" priority="3">
      <formula>G18:G53="x"</formula>
    </cfRule>
  </conditionalFormatting>
  <conditionalFormatting sqref="C33:D34">
    <cfRule type="cellIs" dxfId="0" priority="4" operator="equal">
      <formula>0</formula>
    </cfRule>
  </conditionalFormatting>
  <conditionalFormatting sqref="B6 B35">
    <cfRule type="containsText" dxfId="9" priority="5" operator="containsText" text="Mopar">
      <formula>NOT(ISERROR(SEARCH(("Mopar"),(B6))))</formula>
    </cfRule>
  </conditionalFormatting>
  <conditionalFormatting sqref="E4:F37">
    <cfRule type="cellIs" dxfId="1" priority="6" operator="equal">
      <formula>0</formula>
    </cfRule>
  </conditionalFormatting>
  <conditionalFormatting sqref="C12">
    <cfRule type="expression" dxfId="0" priority="7">
      <formula>G16="x"</formula>
    </cfRule>
  </conditionalFormatting>
  <conditionalFormatting sqref="D12">
    <cfRule type="expression" dxfId="0" priority="8">
      <formula>G16="x"</formula>
    </cfRule>
  </conditionalFormatting>
  <conditionalFormatting sqref="C21">
    <cfRule type="expression" dxfId="0" priority="9">
      <formula>G16="x"</formula>
    </cfRule>
  </conditionalFormatting>
  <conditionalFormatting sqref="D21">
    <cfRule type="expression" dxfId="0" priority="10">
      <formula>G16="x"</formula>
    </cfRule>
  </conditionalFormatting>
  <conditionalFormatting sqref="G31">
    <cfRule type="expression" dxfId="2" priority="11">
      <formula>and(#REF!="x",G31="")</formula>
    </cfRule>
  </conditionalFormatting>
  <conditionalFormatting sqref="G6">
    <cfRule type="expression" dxfId="10" priority="12">
      <formula>and(G5="x",G6="")</formula>
    </cfRule>
  </conditionalFormatting>
  <conditionalFormatting sqref="G5">
    <cfRule type="expression" dxfId="4" priority="13">
      <formula>and(G5="",G6="x")</formula>
    </cfRule>
  </conditionalFormatting>
  <conditionalFormatting sqref="G15">
    <cfRule type="expression" dxfId="10" priority="14">
      <formula>and(G15="",G30="x")</formula>
    </cfRule>
  </conditionalFormatting>
  <conditionalFormatting sqref="G23">
    <cfRule type="expression" dxfId="10" priority="15">
      <formula>and(G23="",G8="x")</formula>
    </cfRule>
  </conditionalFormatting>
  <conditionalFormatting sqref="G12">
    <cfRule type="expression" dxfId="2" priority="16">
      <formula>and(G12="",G16="x")</formula>
    </cfRule>
  </conditionalFormatting>
  <conditionalFormatting sqref="G21">
    <cfRule type="expression" dxfId="2" priority="17">
      <formula>and(G21="",G16="x")</formula>
    </cfRule>
  </conditionalFormatting>
  <conditionalFormatting sqref="G12">
    <cfRule type="expression" dxfId="2" priority="18">
      <formula>and(G12="",#REF!="x")</formula>
    </cfRule>
  </conditionalFormatting>
  <conditionalFormatting sqref="G15">
    <cfRule type="expression" dxfId="2" priority="19">
      <formula>and(G15="",#REF!="x")</formula>
    </cfRule>
  </conditionalFormatting>
  <conditionalFormatting sqref="G31">
    <cfRule type="expression" dxfId="2" priority="20">
      <formula>and(G31="",#REF!="x")</formula>
    </cfRule>
  </conditionalFormatting>
  <conditionalFormatting sqref="G4">
    <cfRule type="expression" dxfId="10" priority="21">
      <formula>and(G24="x",G4="")</formula>
    </cfRule>
  </conditionalFormatting>
  <conditionalFormatting sqref="G4">
    <cfRule type="expression" dxfId="5" priority="22">
      <formula>and(G5="x",G4="x")</formula>
    </cfRule>
  </conditionalFormatting>
  <conditionalFormatting sqref="C26">
    <cfRule type="expression" dxfId="0" priority="23">
      <formula>G30="x"</formula>
    </cfRule>
  </conditionalFormatting>
  <conditionalFormatting sqref="D26">
    <cfRule type="expression" dxfId="0" priority="24">
      <formula>G30="x"</formula>
    </cfRule>
  </conditionalFormatting>
  <conditionalFormatting sqref="G16">
    <cfRule type="expression" dxfId="10" priority="25">
      <formula>and(G19="x",and(G16="",G12=""))</formula>
    </cfRule>
  </conditionalFormatting>
  <conditionalFormatting sqref="G12">
    <cfRule type="expression" dxfId="10" priority="26">
      <formula>and(G19="x",G12="")</formula>
    </cfRule>
  </conditionalFormatting>
  <conditionalFormatting sqref="C10">
    <cfRule type="expression" dxfId="0" priority="27">
      <formula>G7="x"</formula>
    </cfRule>
  </conditionalFormatting>
  <conditionalFormatting sqref="D10">
    <cfRule type="expression" dxfId="0" priority="28">
      <formula>G7="x"</formula>
    </cfRule>
  </conditionalFormatting>
  <conditionalFormatting sqref="G26">
    <cfRule type="expression" dxfId="2" priority="29">
      <formula>and(G26="",G30="x")</formula>
    </cfRule>
  </conditionalFormatting>
  <conditionalFormatting sqref="A5">
    <cfRule type="expression" dxfId="11" priority="30">
      <formula>G4="x"</formula>
    </cfRule>
  </conditionalFormatting>
  <conditionalFormatting sqref="B5">
    <cfRule type="expression" dxfId="11" priority="31">
      <formula>G4="x"</formula>
    </cfRule>
  </conditionalFormatting>
  <conditionalFormatting sqref="C5">
    <cfRule type="expression" dxfId="11" priority="32">
      <formula>G4="x"</formula>
    </cfRule>
  </conditionalFormatting>
  <conditionalFormatting sqref="D5">
    <cfRule type="expression" dxfId="11" priority="33">
      <formula>G4="x"</formula>
    </cfRule>
  </conditionalFormatting>
  <conditionalFormatting sqref="A6">
    <cfRule type="expression" dxfId="11" priority="34">
      <formula>G4="x"</formula>
    </cfRule>
  </conditionalFormatting>
  <conditionalFormatting sqref="B6">
    <cfRule type="expression" dxfId="11" priority="35">
      <formula>G4="x"</formula>
    </cfRule>
  </conditionalFormatting>
  <conditionalFormatting sqref="C6">
    <cfRule type="expression" dxfId="11" priority="36">
      <formula>G4="x"</formula>
    </cfRule>
  </conditionalFormatting>
  <conditionalFormatting sqref="D6">
    <cfRule type="expression" dxfId="11" priority="37">
      <formula>G4="x"</formula>
    </cfRule>
  </conditionalFormatting>
  <conditionalFormatting sqref="H4:H36">
    <cfRule type="containsText" dxfId="15" priority="38" operator="containsText" text="Willys">
      <formula>NOT(ISERROR(SEARCH(("Willys"),(H4))))</formula>
    </cfRule>
  </conditionalFormatting>
  <conditionalFormatting sqref="H4:H36">
    <cfRule type="containsText" dxfId="0" priority="39" operator="containsText" text="Include">
      <formula>NOT(ISERROR(SEARCH(("Include"),(H4))))</formula>
    </cfRule>
  </conditionalFormatting>
  <conditionalFormatting sqref="H4:H36">
    <cfRule type="containsText" dxfId="6" priority="40" operator="containsText" text="Reduce">
      <formula>NOT(ISERROR(SEARCH(("Reduce"),(H4))))</formula>
    </cfRule>
  </conditionalFormatting>
  <conditionalFormatting sqref="H4:H36">
    <cfRule type="containsText" dxfId="5" priority="41" operator="containsText" text="N/A">
      <formula>NOT(ISERROR(SEARCH(("N/A"),(H4))))</formula>
    </cfRule>
  </conditionalFormatting>
  <conditionalFormatting sqref="H4:H36">
    <cfRule type="containsText" dxfId="5" priority="42" operator="containsText" text="Require">
      <formula>NOT(ISERROR(SEARCH(("Require"),(H4))))</formula>
    </cfRule>
  </conditionalFormatting>
  <conditionalFormatting sqref="H4:H36">
    <cfRule type="containsText" dxfId="5" priority="43" operator="containsText" text="Only">
      <formula>NOT(ISERROR(SEARCH(("Only"),(H4))))</formula>
    </cfRule>
  </conditionalFormatting>
  <conditionalFormatting sqref="E4:E36">
    <cfRule type="expression" dxfId="14" priority="44">
      <formula>G4:G36="x"</formula>
    </cfRule>
  </conditionalFormatting>
  <conditionalFormatting sqref="F4:F36">
    <cfRule type="expression" dxfId="14" priority="45">
      <formula>G4:G36="x"</formula>
    </cfRule>
  </conditionalFormatting>
  <conditionalFormatting sqref="H9 H15 H30">
    <cfRule type="notContainsBlanks" dxfId="16" priority="46">
      <formula>LEN(TRIM(H9))&gt;0</formula>
    </cfRule>
  </conditionalFormatting>
  <conditionalFormatting sqref="A4:A36">
    <cfRule type="expression" dxfId="14" priority="47">
      <formula>G4:G36="x"</formula>
    </cfRule>
  </conditionalFormatting>
  <conditionalFormatting sqref="B4:B36">
    <cfRule type="expression" dxfId="14" priority="48">
      <formula>G4:G36="x"</formula>
    </cfRule>
  </conditionalFormatting>
  <dataValidations>
    <dataValidation type="list" allowBlank="1" sqref="C42">
      <formula1>"1%,2%,3%,4%,5%,6%,7%,8%,9%,10%"</formula1>
    </dataValidation>
  </dataValidations>
  <hyperlinks>
    <hyperlink r:id="rId2" ref="H1"/>
  </hyperlinks>
  <printOptions/>
  <pageMargins bottom="0.75" footer="0.0" header="0.0" left="0.7" right="0.7" top="0.75"/>
  <pageSetup orientation="landscape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57.29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110</v>
      </c>
    </row>
    <row r="3">
      <c r="A3" s="33" t="s">
        <v>161</v>
      </c>
      <c r="B3" s="165" t="s">
        <v>162</v>
      </c>
      <c r="C3" s="35">
        <v>38797.0</v>
      </c>
      <c r="D3" s="35">
        <v>40030.0</v>
      </c>
      <c r="E3" s="36">
        <f t="shared" ref="E3:E37" si="1">IF(G3="x",C3,0)</f>
        <v>38797</v>
      </c>
      <c r="F3" s="36">
        <f t="shared" ref="F3:F37" si="2">IF(G3="x",D3,0)</f>
        <v>40030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145" t="s">
        <v>114</v>
      </c>
      <c r="B7" s="146" t="s">
        <v>115</v>
      </c>
      <c r="C7" s="41">
        <v>1796.0</v>
      </c>
      <c r="D7" s="41">
        <v>1995.0</v>
      </c>
      <c r="E7" s="43">
        <f t="shared" si="1"/>
        <v>0</v>
      </c>
      <c r="F7" s="43">
        <f t="shared" si="2"/>
        <v>0</v>
      </c>
      <c r="G7" s="44"/>
      <c r="H7" s="149" t="str">
        <f>if(and(G7="x",G32=""),"Requires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if(and(G8="x",G25=""),"Requires Safety Group (AJ1)","")</f>
        <v/>
      </c>
    </row>
    <row r="9" ht="15.75" customHeight="1">
      <c r="A9" s="145" t="s">
        <v>38</v>
      </c>
      <c r="B9" s="146" t="s">
        <v>118</v>
      </c>
      <c r="C9" s="41">
        <v>149.0</v>
      </c>
      <c r="D9" s="41">
        <v>165.0</v>
      </c>
      <c r="E9" s="43">
        <f t="shared" si="1"/>
        <v>0</v>
      </c>
      <c r="F9" s="43">
        <f t="shared" si="2"/>
        <v>0</v>
      </c>
      <c r="G9" s="44"/>
      <c r="H9" s="77"/>
    </row>
    <row r="10" ht="15.75" customHeight="1">
      <c r="A10" s="39" t="s">
        <v>119</v>
      </c>
      <c r="B10" s="148" t="s">
        <v>120</v>
      </c>
      <c r="C10" s="49">
        <f>if(G7="x",0,1166)</f>
        <v>1166</v>
      </c>
      <c r="D10" s="50">
        <f>if(G7="x",0,1295)</f>
        <v>1295</v>
      </c>
      <c r="E10" s="43">
        <f t="shared" si="1"/>
        <v>0</v>
      </c>
      <c r="F10" s="43">
        <f t="shared" si="2"/>
        <v>0</v>
      </c>
      <c r="G10" s="44"/>
      <c r="H10" s="149" t="str">
        <f>if(G7="x","Included with Premium Audio Group","")</f>
        <v/>
      </c>
    </row>
    <row r="11">
      <c r="A11" s="145" t="s">
        <v>40</v>
      </c>
      <c r="B11" s="146" t="s">
        <v>121</v>
      </c>
      <c r="C11" s="49">
        <f>if(or(G6="x",G22="x"),0,536)</f>
        <v>536</v>
      </c>
      <c r="D11" s="50">
        <f>if(or(G6="x",G22="x"),0,595)</f>
        <v>595</v>
      </c>
      <c r="E11" s="43">
        <f t="shared" si="1"/>
        <v>0</v>
      </c>
      <c r="F11" s="43">
        <f t="shared" si="2"/>
        <v>0</v>
      </c>
      <c r="G11" s="44"/>
      <c r="H11" s="51" t="str">
        <f>if(or(G22="x",G5="x"),"Included with Max Tow (AJQ) [G21] or V6 Turbo Diesel (EXJ) [G6]","")</f>
        <v/>
      </c>
    </row>
    <row r="12">
      <c r="A12" s="39" t="s">
        <v>42</v>
      </c>
      <c r="B12" s="148" t="s">
        <v>122</v>
      </c>
      <c r="C12" s="41">
        <v>266.0</v>
      </c>
      <c r="D12" s="42">
        <v>295.0</v>
      </c>
      <c r="E12" s="43">
        <f t="shared" si="1"/>
        <v>0</v>
      </c>
      <c r="F12" s="43">
        <f t="shared" si="2"/>
        <v>0</v>
      </c>
      <c r="G12" s="44"/>
      <c r="H12" s="147"/>
    </row>
    <row r="13" ht="15.75" customHeight="1">
      <c r="A13" s="39" t="s">
        <v>44</v>
      </c>
      <c r="B13" s="148" t="s">
        <v>123</v>
      </c>
      <c r="C13" s="50">
        <f>if(G17="x",0,1256)</f>
        <v>1256</v>
      </c>
      <c r="D13" s="50">
        <f>if(G17="x",0,1395)</f>
        <v>1395</v>
      </c>
      <c r="E13" s="43">
        <f t="shared" si="1"/>
        <v>0</v>
      </c>
      <c r="F13" s="43">
        <f t="shared" si="2"/>
        <v>0</v>
      </c>
      <c r="G13" s="44"/>
      <c r="H13" s="147" t="str">
        <f>if(G17="x","Included with Dual Top Group (AEN)","")</f>
        <v/>
      </c>
    </row>
    <row r="14">
      <c r="A14" s="39" t="s">
        <v>124</v>
      </c>
      <c r="B14" s="148" t="s">
        <v>125</v>
      </c>
      <c r="C14" s="41">
        <v>806.0</v>
      </c>
      <c r="D14" s="42">
        <v>895.0</v>
      </c>
      <c r="E14" s="43">
        <f t="shared" si="1"/>
        <v>0</v>
      </c>
      <c r="F14" s="43">
        <f t="shared" si="2"/>
        <v>0</v>
      </c>
      <c r="G14" s="44"/>
      <c r="H14" s="147"/>
    </row>
    <row r="15">
      <c r="A15" s="39" t="s">
        <v>126</v>
      </c>
      <c r="B15" s="148" t="s">
        <v>127</v>
      </c>
      <c r="C15" s="50">
        <f>if(and(G4="",G5=""),626,896)</f>
        <v>626</v>
      </c>
      <c r="D15" s="49">
        <f>if(and(G4="",G5=""),695,995)</f>
        <v>695</v>
      </c>
      <c r="E15" s="43">
        <f t="shared" si="1"/>
        <v>0</v>
      </c>
      <c r="F15" s="43">
        <f t="shared" si="2"/>
        <v>0</v>
      </c>
      <c r="G15" s="44"/>
      <c r="H15" s="51"/>
    </row>
    <row r="16">
      <c r="A16" s="39" t="s">
        <v>128</v>
      </c>
      <c r="B16" s="148" t="s">
        <v>129</v>
      </c>
      <c r="C16" s="50">
        <f>if(or(G4="",G15="x"),356,536)</f>
        <v>356</v>
      </c>
      <c r="D16" s="50">
        <f>if(or(G4="",G15="x"),395,595)</f>
        <v>395</v>
      </c>
      <c r="E16" s="43">
        <f t="shared" si="1"/>
        <v>0</v>
      </c>
      <c r="F16" s="43">
        <f t="shared" si="2"/>
        <v>0</v>
      </c>
      <c r="G16" s="44"/>
      <c r="H16" s="51"/>
    </row>
    <row r="17">
      <c r="A17" s="39" t="s">
        <v>130</v>
      </c>
      <c r="B17" s="148" t="s">
        <v>131</v>
      </c>
      <c r="C17" s="46">
        <v>2156.0</v>
      </c>
      <c r="D17" s="46">
        <v>2395.0</v>
      </c>
      <c r="E17" s="43">
        <f t="shared" si="1"/>
        <v>0</v>
      </c>
      <c r="F17" s="43">
        <f t="shared" si="2"/>
        <v>0</v>
      </c>
      <c r="G17" s="44"/>
      <c r="H17" s="149" t="str">
        <f>if(AND(G17="x",G24="",G35="",G36=""),"Requires Tonneau Option;Roll-Up (CSD), Hard Tri-fold (CSU) or Soft Tri-fold (CT6)","")</f>
        <v/>
      </c>
    </row>
    <row r="18">
      <c r="A18" s="145" t="s">
        <v>48</v>
      </c>
      <c r="B18" s="146" t="s">
        <v>49</v>
      </c>
      <c r="C18" s="41">
        <v>86.0</v>
      </c>
      <c r="D18" s="42">
        <v>95.0</v>
      </c>
      <c r="E18" s="43">
        <f t="shared" si="1"/>
        <v>0</v>
      </c>
      <c r="F18" s="43">
        <f t="shared" si="2"/>
        <v>0</v>
      </c>
      <c r="G18" s="44"/>
      <c r="H18" s="147"/>
    </row>
    <row r="19" ht="15.75" customHeight="1">
      <c r="A19" s="39" t="s">
        <v>132</v>
      </c>
      <c r="B19" s="166" t="s">
        <v>133</v>
      </c>
      <c r="C19" s="167">
        <v>0.0</v>
      </c>
      <c r="D19" s="167">
        <v>0.0</v>
      </c>
      <c r="E19" s="43">
        <f t="shared" si="1"/>
        <v>0</v>
      </c>
      <c r="F19" s="43">
        <f t="shared" si="2"/>
        <v>0</v>
      </c>
      <c r="G19" s="168" t="s">
        <v>30</v>
      </c>
      <c r="H19" s="149" t="str">
        <f>(if(and(G19="x",G25=""),"Typically Requires Safety Group (AJ1), ask your dealer",""))</f>
        <v>Typically Requires Safety Group (AJ1), ask your dealer</v>
      </c>
    </row>
    <row r="20" ht="15.75" customHeight="1">
      <c r="A20" s="39" t="s">
        <v>134</v>
      </c>
      <c r="B20" s="148" t="s">
        <v>135</v>
      </c>
      <c r="C20" s="41">
        <v>500.0</v>
      </c>
      <c r="D20" s="41">
        <v>595.0</v>
      </c>
      <c r="E20" s="43">
        <f t="shared" si="1"/>
        <v>0</v>
      </c>
      <c r="F20" s="43">
        <f t="shared" si="2"/>
        <v>0</v>
      </c>
      <c r="G20" s="44"/>
      <c r="H20" s="149" t="str">
        <f>if(G20="x",if(or(G17="x",G13="x"),"","Requires Dual Top Group (AEN) or Black 3-Pc Hard Top (HT1)"),"")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39" t="s">
        <v>52</v>
      </c>
      <c r="B22" s="148" t="s">
        <v>53</v>
      </c>
      <c r="C22" s="41">
        <v>1120.0</v>
      </c>
      <c r="D22" s="41">
        <v>1245.0</v>
      </c>
      <c r="E22" s="43">
        <f t="shared" si="1"/>
        <v>0</v>
      </c>
      <c r="F22" s="43">
        <f t="shared" si="2"/>
        <v>0</v>
      </c>
      <c r="G22" s="44"/>
      <c r="H22" s="149" t="str">
        <f>if(G5="x","N/A with 8HP75 Automatic Transmission (DFV)","")</f>
        <v/>
      </c>
    </row>
    <row r="23">
      <c r="A23" s="39" t="s">
        <v>138</v>
      </c>
      <c r="B23" s="148" t="s">
        <v>139</v>
      </c>
      <c r="C23" s="167">
        <v>0.0</v>
      </c>
      <c r="D23" s="167">
        <v>0.0</v>
      </c>
      <c r="E23" s="43">
        <f t="shared" si="1"/>
        <v>0</v>
      </c>
      <c r="F23" s="43">
        <f t="shared" si="2"/>
        <v>0</v>
      </c>
      <c r="G23" s="168" t="s">
        <v>30</v>
      </c>
      <c r="H23" s="147" t="str">
        <f>if(G17="x","Included with AEN (Dual Top Group)[F17]","")</f>
        <v/>
      </c>
    </row>
    <row r="24" ht="15.75" customHeight="1">
      <c r="A24" s="39" t="s">
        <v>54</v>
      </c>
      <c r="B24" s="148" t="s">
        <v>55</v>
      </c>
      <c r="C24" s="41">
        <v>536.0</v>
      </c>
      <c r="D24" s="41">
        <v>595.0</v>
      </c>
      <c r="E24" s="43">
        <f t="shared" si="1"/>
        <v>0</v>
      </c>
      <c r="F24" s="43">
        <f t="shared" si="2"/>
        <v>0</v>
      </c>
      <c r="G24" s="44"/>
      <c r="H24" s="52" t="str">
        <f>if(G36="x","N/A with Mopar Soft Tri-fold (CT6) [F23]","")</f>
        <v/>
      </c>
    </row>
    <row r="25">
      <c r="A25" s="39" t="s">
        <v>140</v>
      </c>
      <c r="B25" s="148" t="s">
        <v>141</v>
      </c>
      <c r="C25" s="41">
        <v>896.0</v>
      </c>
      <c r="D25" s="42">
        <v>995.0</v>
      </c>
      <c r="E25" s="43">
        <f t="shared" si="1"/>
        <v>0</v>
      </c>
      <c r="F25" s="43">
        <f t="shared" si="2"/>
        <v>0</v>
      </c>
      <c r="G25" s="44"/>
      <c r="H25" s="147"/>
    </row>
    <row r="26" ht="15.75" customHeight="1">
      <c r="A26" s="39" t="s">
        <v>142</v>
      </c>
      <c r="B26" s="148" t="s">
        <v>143</v>
      </c>
      <c r="C26" s="41">
        <v>626.0</v>
      </c>
      <c r="D26" s="41">
        <v>695.0</v>
      </c>
      <c r="E26" s="43">
        <f t="shared" si="1"/>
        <v>0</v>
      </c>
      <c r="F26" s="43">
        <f t="shared" si="2"/>
        <v>0</v>
      </c>
      <c r="G26" s="44"/>
      <c r="H26" s="149" t="str">
        <f>if(and(G26="x",G4=""),"Requires 8-Speed Automatic 850Re Transmission (DFT)","")</f>
        <v/>
      </c>
    </row>
    <row r="27" ht="15.75" customHeight="1">
      <c r="A27" s="39" t="s">
        <v>144</v>
      </c>
      <c r="B27" s="148" t="s">
        <v>145</v>
      </c>
      <c r="C27" s="41">
        <v>626.0</v>
      </c>
      <c r="D27" s="42">
        <v>695.0</v>
      </c>
      <c r="E27" s="43">
        <f t="shared" si="1"/>
        <v>0</v>
      </c>
      <c r="F27" s="43">
        <f t="shared" si="2"/>
        <v>0</v>
      </c>
      <c r="G27" s="44"/>
      <c r="H27" s="147"/>
    </row>
    <row r="28" ht="15.75" customHeight="1">
      <c r="A28" s="39" t="s">
        <v>56</v>
      </c>
      <c r="B28" s="148" t="s">
        <v>57</v>
      </c>
      <c r="C28" s="50">
        <f>if(G32="x",0,266)</f>
        <v>266</v>
      </c>
      <c r="D28" s="50">
        <f>if(G32="x",0,295)</f>
        <v>295</v>
      </c>
      <c r="E28" s="43">
        <f t="shared" si="1"/>
        <v>0</v>
      </c>
      <c r="F28" s="43">
        <f t="shared" si="2"/>
        <v>0</v>
      </c>
      <c r="G28" s="44"/>
      <c r="H28" s="149" t="str">
        <f>if(G32="x","Included with Technology Group (AAN)","")</f>
        <v/>
      </c>
    </row>
    <row r="29">
      <c r="A29" s="39" t="s">
        <v>146</v>
      </c>
      <c r="B29" s="148" t="s">
        <v>59</v>
      </c>
      <c r="C29" s="42">
        <v>27.0</v>
      </c>
      <c r="D29" s="42">
        <v>30.0</v>
      </c>
      <c r="E29" s="43">
        <f t="shared" si="1"/>
        <v>0</v>
      </c>
      <c r="F29" s="43">
        <f t="shared" si="2"/>
        <v>0</v>
      </c>
      <c r="G29" s="44"/>
      <c r="H29" s="147"/>
    </row>
    <row r="30" ht="15.75" customHeight="1">
      <c r="A30" s="39" t="s">
        <v>60</v>
      </c>
      <c r="B30" s="148" t="s">
        <v>61</v>
      </c>
      <c r="C30" s="41">
        <v>68.0</v>
      </c>
      <c r="D30" s="42">
        <v>75.0</v>
      </c>
      <c r="E30" s="43">
        <f t="shared" si="1"/>
        <v>0</v>
      </c>
      <c r="F30" s="43">
        <f t="shared" si="2"/>
        <v>0</v>
      </c>
      <c r="G30" s="44"/>
      <c r="H30" s="149" t="str">
        <f>if(G30="x",if(or(G17="x",G23="x"),"","Requires STB (Premium Soft Top)[F18] or AEN (Dual Top Group)[F17]"),"")</f>
        <v/>
      </c>
    </row>
    <row r="31" ht="15.75" customHeight="1">
      <c r="A31" s="39" t="s">
        <v>62</v>
      </c>
      <c r="B31" s="148" t="s">
        <v>63</v>
      </c>
      <c r="C31" s="41">
        <v>446.0</v>
      </c>
      <c r="D31" s="42">
        <v>495.0</v>
      </c>
      <c r="E31" s="43">
        <f t="shared" si="1"/>
        <v>0</v>
      </c>
      <c r="F31" s="43">
        <f t="shared" si="2"/>
        <v>0</v>
      </c>
      <c r="G31" s="44"/>
      <c r="H31" s="147"/>
    </row>
    <row r="32">
      <c r="A32" s="145" t="s">
        <v>147</v>
      </c>
      <c r="B32" s="146" t="s">
        <v>148</v>
      </c>
      <c r="C32" s="46">
        <v>626.0</v>
      </c>
      <c r="D32" s="46">
        <v>695.0</v>
      </c>
      <c r="E32" s="43">
        <f t="shared" si="1"/>
        <v>0</v>
      </c>
      <c r="F32" s="43">
        <f t="shared" si="2"/>
        <v>0</v>
      </c>
      <c r="G32" s="44"/>
      <c r="H32" s="149" t="str">
        <f>if(and(G32="x",G16=""),"Requires Convenience Group (ADC)","")</f>
        <v/>
      </c>
    </row>
    <row r="33">
      <c r="A33" s="39" t="s">
        <v>64</v>
      </c>
      <c r="B33" s="148" t="s">
        <v>149</v>
      </c>
      <c r="C33" s="49">
        <f>if(G22="x",0,316)</f>
        <v>316</v>
      </c>
      <c r="D33" s="49">
        <f>if(G22="x",0,350)</f>
        <v>350</v>
      </c>
      <c r="E33" s="43">
        <f t="shared" si="1"/>
        <v>0</v>
      </c>
      <c r="F33" s="43">
        <f t="shared" si="2"/>
        <v>0</v>
      </c>
      <c r="G33" s="44"/>
      <c r="H33" s="149" t="str">
        <f>if(G22="x","Included with Max TowPackage (AJQ)","")</f>
        <v/>
      </c>
    </row>
    <row r="34" ht="15.75" customHeight="1">
      <c r="A34" s="39" t="s">
        <v>150</v>
      </c>
      <c r="B34" s="148" t="s">
        <v>151</v>
      </c>
      <c r="C34" s="41">
        <v>266.0</v>
      </c>
      <c r="D34" s="42">
        <v>295.0</v>
      </c>
      <c r="E34" s="43">
        <f t="shared" si="1"/>
        <v>0</v>
      </c>
      <c r="F34" s="43">
        <f t="shared" si="2"/>
        <v>0</v>
      </c>
      <c r="G34" s="44"/>
      <c r="H34" s="149" t="str">
        <f>if(G34="x",if(or(G7="x",G10="x"),"","Requires 8.4 Radio (AEK) or Alpine Premium Audio (RC4)"),"")</f>
        <v/>
      </c>
    </row>
    <row r="35" ht="15.75" customHeight="1">
      <c r="A35" s="39" t="s">
        <v>66</v>
      </c>
      <c r="B35" s="148" t="s">
        <v>67</v>
      </c>
      <c r="C35" s="53">
        <v>896.0</v>
      </c>
      <c r="D35" s="53">
        <v>995.0</v>
      </c>
      <c r="E35" s="43">
        <f t="shared" si="1"/>
        <v>0</v>
      </c>
      <c r="F35" s="43">
        <f t="shared" si="2"/>
        <v>0</v>
      </c>
      <c r="G35" s="44"/>
      <c r="H35" s="52" t="str">
        <f>if(or(G24="x",G36="x"),"N/A with Roll-Up Tonneau (CSD) [F21] or Mopar Soft Tri-fold (CT6) [F23]","")</f>
        <v/>
      </c>
    </row>
    <row r="36" ht="15.75" customHeight="1">
      <c r="A36" s="39" t="s">
        <v>68</v>
      </c>
      <c r="B36" s="148" t="s">
        <v>69</v>
      </c>
      <c r="C36" s="53">
        <v>563.0</v>
      </c>
      <c r="D36" s="53">
        <v>625.0</v>
      </c>
      <c r="E36" s="43">
        <f t="shared" si="1"/>
        <v>0</v>
      </c>
      <c r="F36" s="43">
        <f t="shared" si="2"/>
        <v>0</v>
      </c>
      <c r="G36" s="54"/>
      <c r="H36" s="48" t="str">
        <f>if(or(G24="x",G35="x"),"N/A with Roll-Up Tonneau (CSD) [F21] or Mopar Hard Tri-fold (CSU) [F22]","")</f>
        <v/>
      </c>
    </row>
    <row r="37">
      <c r="A37" s="39"/>
      <c r="B37" s="40" t="s">
        <v>70</v>
      </c>
      <c r="C37" s="41">
        <v>220.0</v>
      </c>
      <c r="D37" s="41">
        <v>245.0</v>
      </c>
      <c r="E37" s="43">
        <f t="shared" si="1"/>
        <v>0</v>
      </c>
      <c r="F37" s="55">
        <f t="shared" si="2"/>
        <v>0</v>
      </c>
      <c r="G37" s="150"/>
      <c r="H37" s="57" t="s">
        <v>71</v>
      </c>
    </row>
    <row r="38">
      <c r="A38" s="58"/>
      <c r="B38" s="151" t="str">
        <f>'Mopar Add-Ons'!B24</f>
        <v>Total Mopar Add-On Cost</v>
      </c>
      <c r="C38" s="60"/>
      <c r="D38" s="60"/>
      <c r="E38" s="61">
        <f>'Mopar Add-Ons'!E24</f>
        <v>0</v>
      </c>
      <c r="F38" s="61">
        <f>'Mopar Add-Ons'!F24</f>
        <v>0</v>
      </c>
      <c r="G38" s="152"/>
      <c r="H38" s="64" t="str">
        <f>'Mopar Add-Ons'!H24</f>
        <v>Price pulled from sheet "Mopar Add-Ons"</v>
      </c>
    </row>
    <row r="39">
      <c r="A39" s="65"/>
      <c r="B39" s="153" t="s">
        <v>72</v>
      </c>
      <c r="C39" s="153"/>
      <c r="D39" s="153"/>
      <c r="E39" s="69">
        <f t="shared" ref="E39:F39" si="3">SUM(E3:E38)</f>
        <v>38797</v>
      </c>
      <c r="F39" s="69">
        <f t="shared" si="3"/>
        <v>40030</v>
      </c>
      <c r="G39" s="154"/>
      <c r="H39" s="154"/>
    </row>
    <row r="40" ht="15.75" customHeight="1">
      <c r="A40" s="155"/>
      <c r="B40" s="73" t="s">
        <v>73</v>
      </c>
      <c r="C40" s="74"/>
      <c r="D40" s="74"/>
      <c r="E40" s="75"/>
      <c r="F40" s="76">
        <f>F39+D56</f>
        <v>40030</v>
      </c>
      <c r="G40" s="72"/>
      <c r="H40" s="83"/>
    </row>
    <row r="41" ht="15.75" customHeight="1">
      <c r="A41" s="72"/>
      <c r="B41" s="72"/>
      <c r="C41" s="72"/>
      <c r="D41" s="72"/>
      <c r="E41" s="72"/>
      <c r="F41" s="72"/>
      <c r="G41" s="72"/>
      <c r="H41" s="83"/>
    </row>
    <row r="42" ht="15.0" customHeight="1">
      <c r="A42" s="78"/>
      <c r="B42" s="79" t="s">
        <v>23</v>
      </c>
      <c r="C42" s="80"/>
      <c r="D42" s="80">
        <f>F39</f>
        <v>40030</v>
      </c>
      <c r="E42" s="44"/>
      <c r="F42" s="81" t="s">
        <v>163</v>
      </c>
      <c r="G42" s="82"/>
      <c r="H42" s="169" t="s">
        <v>164</v>
      </c>
    </row>
    <row r="43" ht="15.0" customHeight="1">
      <c r="A43" s="78"/>
      <c r="B43" s="79" t="s">
        <v>22</v>
      </c>
      <c r="C43" s="80"/>
      <c r="D43" s="80">
        <f>E39</f>
        <v>38797</v>
      </c>
      <c r="E43" s="44"/>
      <c r="G43" s="84"/>
      <c r="H43" s="170" t="s">
        <v>165</v>
      </c>
    </row>
    <row r="44" ht="15.75" customHeight="1">
      <c r="A44" s="78"/>
      <c r="B44" s="79" t="s">
        <v>75</v>
      </c>
      <c r="C44" s="85">
        <v>0.05</v>
      </c>
      <c r="D44" s="80">
        <f>E39*(1-C44)</f>
        <v>36857.15</v>
      </c>
      <c r="E44" s="44"/>
      <c r="G44" s="84"/>
      <c r="H44" s="170" t="s">
        <v>166</v>
      </c>
    </row>
    <row r="45" ht="15.75" customHeight="1">
      <c r="A45" s="78"/>
      <c r="B45" s="87" t="s">
        <v>18</v>
      </c>
      <c r="C45" s="88"/>
      <c r="D45" s="89"/>
      <c r="E45" s="89"/>
      <c r="F45" s="90"/>
      <c r="G45" s="91"/>
      <c r="H45" s="170" t="s">
        <v>167</v>
      </c>
    </row>
    <row r="46" ht="15.75" customHeight="1">
      <c r="A46" s="78"/>
      <c r="B46" s="92" t="s">
        <v>76</v>
      </c>
      <c r="C46" s="93"/>
      <c r="D46" s="93">
        <v>1495.0</v>
      </c>
      <c r="E46" s="94">
        <f>(((SUM(((IF(E42="x",D42,0))+IF(E43="x",D43,0))+IF(E44="x",D44,0))+(IF(E45="x",D45,0))))+D46)</f>
        <v>1495</v>
      </c>
      <c r="F46" s="95"/>
      <c r="G46" s="96"/>
      <c r="H46" s="170" t="s">
        <v>168</v>
      </c>
    </row>
    <row r="47" ht="15.75" customHeight="1">
      <c r="A47" s="78"/>
      <c r="B47" s="97" t="s">
        <v>77</v>
      </c>
      <c r="C47" s="98"/>
      <c r="D47" s="98"/>
      <c r="E47" s="99"/>
      <c r="F47" s="100" t="s">
        <v>78</v>
      </c>
      <c r="G47" s="101"/>
      <c r="H47" s="170" t="s">
        <v>169</v>
      </c>
    </row>
    <row r="48" ht="15.75" customHeight="1">
      <c r="A48" s="78"/>
      <c r="B48" s="97" t="s">
        <v>79</v>
      </c>
      <c r="C48" s="98"/>
      <c r="D48" s="98"/>
      <c r="E48" s="99"/>
      <c r="F48" s="100" t="s">
        <v>80</v>
      </c>
      <c r="G48" s="101"/>
      <c r="H48" s="170" t="s">
        <v>170</v>
      </c>
    </row>
    <row r="49" ht="15.75" customHeight="1">
      <c r="A49" s="78"/>
      <c r="B49" s="97" t="s">
        <v>81</v>
      </c>
      <c r="C49" s="102"/>
      <c r="D49" s="102"/>
      <c r="E49" s="103"/>
      <c r="F49" s="100" t="s">
        <v>82</v>
      </c>
      <c r="G49" s="101"/>
      <c r="H49" s="170" t="s">
        <v>171</v>
      </c>
    </row>
    <row r="50" ht="15.75" customHeight="1">
      <c r="A50" s="78"/>
      <c r="B50" s="97" t="s">
        <v>83</v>
      </c>
      <c r="C50" s="102"/>
      <c r="D50" s="102"/>
      <c r="E50" s="103"/>
      <c r="F50" s="100" t="s">
        <v>84</v>
      </c>
      <c r="G50" s="101"/>
      <c r="H50" s="171"/>
    </row>
    <row r="51" ht="15.75" customHeight="1">
      <c r="A51" s="86"/>
      <c r="B51" s="104" t="s">
        <v>85</v>
      </c>
      <c r="C51" s="105"/>
      <c r="D51" s="106">
        <v>0.085</v>
      </c>
      <c r="E51" s="107">
        <f>(E46-E47+E49+E50)*D51</f>
        <v>127.075</v>
      </c>
      <c r="F51" s="100" t="s">
        <v>86</v>
      </c>
      <c r="G51" s="101"/>
      <c r="H51" s="171"/>
    </row>
    <row r="52" ht="15.75" customHeight="1">
      <c r="A52" s="86"/>
      <c r="B52" s="110" t="s">
        <v>87</v>
      </c>
      <c r="C52" s="111"/>
      <c r="D52" s="111"/>
      <c r="E52" s="111">
        <f>sum(E46-E47-E48+E49+E50+E51)</f>
        <v>1622.075</v>
      </c>
      <c r="F52" s="96"/>
      <c r="G52" s="112"/>
      <c r="H52" s="83"/>
    </row>
    <row r="53" ht="15.75" customHeight="1">
      <c r="A53" s="86"/>
      <c r="B53" s="115"/>
      <c r="C53" s="113"/>
      <c r="D53" s="113"/>
      <c r="E53" s="113"/>
      <c r="F53" s="116"/>
      <c r="G53" s="116"/>
      <c r="H53" s="83"/>
    </row>
    <row r="54" ht="15.75" customHeight="1">
      <c r="A54" s="86"/>
      <c r="B54" s="117"/>
      <c r="C54" s="118" t="s">
        <v>88</v>
      </c>
      <c r="D54" s="118"/>
      <c r="E54" s="113"/>
      <c r="F54" s="116"/>
      <c r="G54" s="116"/>
      <c r="H54" s="83"/>
    </row>
    <row r="55" ht="15.75" customHeight="1">
      <c r="A55" s="86"/>
      <c r="B55" s="83"/>
      <c r="C55" s="120" t="s">
        <v>89</v>
      </c>
      <c r="D55" s="121"/>
      <c r="E55" s="55">
        <f>E52</f>
        <v>1622.075</v>
      </c>
      <c r="F55" s="122" t="s">
        <v>90</v>
      </c>
      <c r="G55" s="101"/>
      <c r="H55" s="83"/>
    </row>
    <row r="56" ht="15.75" customHeight="1">
      <c r="A56" s="86"/>
      <c r="B56" s="83"/>
      <c r="C56" s="120" t="s">
        <v>91</v>
      </c>
      <c r="D56" s="121"/>
      <c r="E56" s="123">
        <v>0.049</v>
      </c>
      <c r="F56" s="124" t="s">
        <v>92</v>
      </c>
      <c r="G56" s="125"/>
      <c r="H56" s="83"/>
    </row>
    <row r="57" ht="15.75" customHeight="1">
      <c r="A57" s="86"/>
      <c r="B57" s="83"/>
      <c r="C57" s="126" t="s">
        <v>93</v>
      </c>
      <c r="D57" s="127"/>
      <c r="E57" s="128">
        <v>72.0</v>
      </c>
      <c r="F57" s="129" t="s">
        <v>94</v>
      </c>
      <c r="G57" s="130"/>
      <c r="H57" s="83"/>
    </row>
    <row r="58" ht="15.75" customHeight="1">
      <c r="A58" s="109"/>
      <c r="B58" s="115"/>
      <c r="C58" s="112" t="s">
        <v>95</v>
      </c>
      <c r="D58" s="112"/>
      <c r="E58" s="131">
        <f>PMT(E56/12,E57,-E55)</f>
        <v>26.0482338</v>
      </c>
      <c r="F58" s="77"/>
      <c r="G58" s="131"/>
      <c r="H58" s="115"/>
    </row>
    <row r="59" ht="15.75" customHeight="1">
      <c r="A59" s="114"/>
      <c r="B59" s="115"/>
      <c r="C59" s="115"/>
      <c r="D59" s="115"/>
      <c r="E59" s="115"/>
      <c r="F59" s="115"/>
      <c r="G59" s="115"/>
      <c r="H59" s="132"/>
    </row>
    <row r="60" ht="15.75" customHeight="1">
      <c r="A60" s="114"/>
      <c r="B60" s="115"/>
      <c r="C60" s="115"/>
      <c r="D60" s="115"/>
      <c r="E60" s="115"/>
      <c r="F60" s="115"/>
      <c r="G60" s="115"/>
      <c r="H60" s="132" t="s">
        <v>172</v>
      </c>
    </row>
    <row r="61" ht="15.75" customHeight="1">
      <c r="A61" s="114"/>
      <c r="B61" s="115"/>
      <c r="C61" s="115"/>
      <c r="D61" s="115"/>
      <c r="E61" s="115"/>
      <c r="F61" s="115"/>
      <c r="G61" s="115"/>
      <c r="H61" s="115"/>
    </row>
  </sheetData>
  <mergeCells count="1">
    <mergeCell ref="F42:G45"/>
  </mergeCells>
  <conditionalFormatting sqref="C35:D36">
    <cfRule type="cellIs" dxfId="0" priority="1" operator="equal">
      <formula>0</formula>
    </cfRule>
  </conditionalFormatting>
  <conditionalFormatting sqref="B6 B37">
    <cfRule type="containsText" dxfId="9" priority="2" operator="containsText" text="Mopar">
      <formula>NOT(ISERROR(SEARCH(("Mopar"),(B6))))</formula>
    </cfRule>
  </conditionalFormatting>
  <conditionalFormatting sqref="E4:F39">
    <cfRule type="cellIs" dxfId="1" priority="3" operator="equal">
      <formula>0</formula>
    </cfRule>
  </conditionalFormatting>
  <conditionalFormatting sqref="A13">
    <cfRule type="expression" dxfId="2" priority="4">
      <formula>#REF!="x"</formula>
    </cfRule>
  </conditionalFormatting>
  <conditionalFormatting sqref="A16">
    <cfRule type="expression" dxfId="2" priority="5">
      <formula>#REF!="x"</formula>
    </cfRule>
  </conditionalFormatting>
  <conditionalFormatting sqref="A33">
    <cfRule type="expression" dxfId="2" priority="6">
      <formula>#REF!="x"</formula>
    </cfRule>
  </conditionalFormatting>
  <conditionalFormatting sqref="A32">
    <cfRule type="expression" dxfId="2" priority="7">
      <formula>#REF!="x"</formula>
    </cfRule>
  </conditionalFormatting>
  <conditionalFormatting sqref="C13">
    <cfRule type="expression" dxfId="0" priority="8">
      <formula>G17="x"</formula>
    </cfRule>
  </conditionalFormatting>
  <conditionalFormatting sqref="D13">
    <cfRule type="expression" dxfId="0" priority="9">
      <formula>G17="x"</formula>
    </cfRule>
  </conditionalFormatting>
  <conditionalFormatting sqref="C23">
    <cfRule type="expression" dxfId="0" priority="10">
      <formula>G17="x"</formula>
    </cfRule>
  </conditionalFormatting>
  <conditionalFormatting sqref="D23">
    <cfRule type="expression" dxfId="0" priority="11">
      <formula>G17="x"</formula>
    </cfRule>
  </conditionalFormatting>
  <conditionalFormatting sqref="C11">
    <cfRule type="expression" dxfId="0" priority="12">
      <formula>G22="x"</formula>
    </cfRule>
  </conditionalFormatting>
  <conditionalFormatting sqref="D11">
    <cfRule type="expression" dxfId="0" priority="13">
      <formula>G22="x"</formula>
    </cfRule>
  </conditionalFormatting>
  <conditionalFormatting sqref="C33">
    <cfRule type="expression" dxfId="0" priority="14">
      <formula>G22="x"</formula>
    </cfRule>
  </conditionalFormatting>
  <conditionalFormatting sqref="D33">
    <cfRule type="expression" dxfId="0" priority="15">
      <formula>G22="x"</formula>
    </cfRule>
  </conditionalFormatting>
  <conditionalFormatting sqref="G33">
    <cfRule type="expression" dxfId="2" priority="16">
      <formula>and(G22="x",G33="")</formula>
    </cfRule>
  </conditionalFormatting>
  <conditionalFormatting sqref="G11">
    <cfRule type="expression" dxfId="2" priority="17">
      <formula>and(G22="x",G11="")</formula>
    </cfRule>
  </conditionalFormatting>
  <conditionalFormatting sqref="G6">
    <cfRule type="expression" dxfId="10" priority="18">
      <formula>and(G5="x",G6="")</formula>
    </cfRule>
  </conditionalFormatting>
  <conditionalFormatting sqref="G5">
    <cfRule type="expression" dxfId="4" priority="19">
      <formula>and(G5="",G6="x")</formula>
    </cfRule>
  </conditionalFormatting>
  <conditionalFormatting sqref="G32">
    <cfRule type="expression" dxfId="10" priority="20">
      <formula>and(G7="x",G32="")</formula>
    </cfRule>
  </conditionalFormatting>
  <conditionalFormatting sqref="G16">
    <cfRule type="expression" dxfId="10" priority="21">
      <formula>and(G16="",G32="x")</formula>
    </cfRule>
  </conditionalFormatting>
  <conditionalFormatting sqref="G25">
    <cfRule type="expression" dxfId="10" priority="22">
      <formula>and(G25="",G8="x")</formula>
    </cfRule>
  </conditionalFormatting>
  <conditionalFormatting sqref="G13">
    <cfRule type="expression" dxfId="2" priority="23">
      <formula>and(G13="",G17="x")</formula>
    </cfRule>
  </conditionalFormatting>
  <conditionalFormatting sqref="G23">
    <cfRule type="expression" dxfId="2" priority="24">
      <formula>and(G23="",G17="x")</formula>
    </cfRule>
  </conditionalFormatting>
  <conditionalFormatting sqref="G13">
    <cfRule type="expression" dxfId="2" priority="25">
      <formula>and(G13="",#REF!="x")</formula>
    </cfRule>
  </conditionalFormatting>
  <conditionalFormatting sqref="G16">
    <cfRule type="expression" dxfId="2" priority="26">
      <formula>and(G16="",#REF!="x")</formula>
    </cfRule>
  </conditionalFormatting>
  <conditionalFormatting sqref="G33">
    <cfRule type="expression" dxfId="2" priority="27">
      <formula>and(G33="",#REF!="x")</formula>
    </cfRule>
  </conditionalFormatting>
  <conditionalFormatting sqref="G32">
    <cfRule type="expression" dxfId="2" priority="28">
      <formula>and(G32="",#REF!="x")</formula>
    </cfRule>
  </conditionalFormatting>
  <conditionalFormatting sqref="C13">
    <cfRule type="expression" dxfId="0" priority="29">
      <formula>#REF!="x"</formula>
    </cfRule>
  </conditionalFormatting>
  <conditionalFormatting sqref="D13">
    <cfRule type="expression" dxfId="0" priority="30">
      <formula>#REF!="x"</formula>
    </cfRule>
  </conditionalFormatting>
  <conditionalFormatting sqref="C16">
    <cfRule type="expression" dxfId="0" priority="31">
      <formula>#REF!="x"</formula>
    </cfRule>
  </conditionalFormatting>
  <conditionalFormatting sqref="D16">
    <cfRule type="expression" dxfId="0" priority="32">
      <formula>#REF!="x"</formula>
    </cfRule>
  </conditionalFormatting>
  <conditionalFormatting sqref="C32">
    <cfRule type="expression" dxfId="0" priority="33">
      <formula>#REF!="x"</formula>
    </cfRule>
  </conditionalFormatting>
  <conditionalFormatting sqref="D32">
    <cfRule type="expression" dxfId="0" priority="34">
      <formula>#REF!="x"</formula>
    </cfRule>
  </conditionalFormatting>
  <conditionalFormatting sqref="C33">
    <cfRule type="expression" dxfId="0" priority="35">
      <formula>#REF!="x"</formula>
    </cfRule>
  </conditionalFormatting>
  <conditionalFormatting sqref="D33">
    <cfRule type="expression" dxfId="0" priority="36">
      <formula>#REF!="x"</formula>
    </cfRule>
  </conditionalFormatting>
  <conditionalFormatting sqref="G4">
    <cfRule type="expression" dxfId="10" priority="37">
      <formula>and(G26="x",G4="")</formula>
    </cfRule>
  </conditionalFormatting>
  <conditionalFormatting sqref="G4">
    <cfRule type="expression" dxfId="5" priority="38">
      <formula>and(G5="x",G4="x")</formula>
    </cfRule>
  </conditionalFormatting>
  <conditionalFormatting sqref="C28">
    <cfRule type="expression" dxfId="0" priority="39">
      <formula>G32="x"</formula>
    </cfRule>
  </conditionalFormatting>
  <conditionalFormatting sqref="D28">
    <cfRule type="expression" dxfId="0" priority="40">
      <formula>G32="x"</formula>
    </cfRule>
  </conditionalFormatting>
  <conditionalFormatting sqref="G17">
    <cfRule type="expression" dxfId="10" priority="41">
      <formula>and(G20="x",and(G17="",G13=""))</formula>
    </cfRule>
  </conditionalFormatting>
  <conditionalFormatting sqref="G13">
    <cfRule type="expression" dxfId="10" priority="42">
      <formula>and(G20="x",G13="")</formula>
    </cfRule>
  </conditionalFormatting>
  <conditionalFormatting sqref="C10">
    <cfRule type="expression" dxfId="0" priority="43">
      <formula>G7="x"</formula>
    </cfRule>
  </conditionalFormatting>
  <conditionalFormatting sqref="D10">
    <cfRule type="expression" dxfId="0" priority="44">
      <formula>G7="x"</formula>
    </cfRule>
  </conditionalFormatting>
  <conditionalFormatting sqref="G28">
    <cfRule type="expression" dxfId="2" priority="45">
      <formula>and(G28="",G32="x")</formula>
    </cfRule>
  </conditionalFormatting>
  <conditionalFormatting sqref="A5">
    <cfRule type="expression" dxfId="11" priority="46">
      <formula>G4="x"</formula>
    </cfRule>
  </conditionalFormatting>
  <conditionalFormatting sqref="B5">
    <cfRule type="expression" dxfId="11" priority="47">
      <formula>G4="x"</formula>
    </cfRule>
  </conditionalFormatting>
  <conditionalFormatting sqref="C5">
    <cfRule type="expression" dxfId="11" priority="48">
      <formula>G4="x"</formula>
    </cfRule>
  </conditionalFormatting>
  <conditionalFormatting sqref="D5">
    <cfRule type="expression" dxfId="11" priority="49">
      <formula>G4="x"</formula>
    </cfRule>
  </conditionalFormatting>
  <conditionalFormatting sqref="A6">
    <cfRule type="expression" dxfId="11" priority="50">
      <formula>G4="x"</formula>
    </cfRule>
  </conditionalFormatting>
  <conditionalFormatting sqref="B6">
    <cfRule type="expression" dxfId="11" priority="51">
      <formula>G4="x"</formula>
    </cfRule>
  </conditionalFormatting>
  <conditionalFormatting sqref="C6">
    <cfRule type="expression" dxfId="11" priority="52">
      <formula>G4="x"</formula>
    </cfRule>
  </conditionalFormatting>
  <conditionalFormatting sqref="D6">
    <cfRule type="expression" dxfId="11" priority="53">
      <formula>G4="x"</formula>
    </cfRule>
  </conditionalFormatting>
  <conditionalFormatting sqref="C11">
    <cfRule type="expression" dxfId="0" priority="54">
      <formula>G6="x"</formula>
    </cfRule>
  </conditionalFormatting>
  <conditionalFormatting sqref="D11">
    <cfRule type="expression" dxfId="0" priority="55">
      <formula>G6="x"</formula>
    </cfRule>
  </conditionalFormatting>
  <conditionalFormatting sqref="A22">
    <cfRule type="expression" dxfId="7" priority="56">
      <formula>G5="x"</formula>
    </cfRule>
  </conditionalFormatting>
  <conditionalFormatting sqref="B22">
    <cfRule type="expression" dxfId="7" priority="57">
      <formula>G5="x"</formula>
    </cfRule>
  </conditionalFormatting>
  <conditionalFormatting sqref="C22">
    <cfRule type="expression" dxfId="7" priority="58">
      <formula>G5="x"</formula>
    </cfRule>
  </conditionalFormatting>
  <conditionalFormatting sqref="D22">
    <cfRule type="expression" dxfId="12" priority="59">
      <formula>G5="x"</formula>
    </cfRule>
  </conditionalFormatting>
  <conditionalFormatting sqref="G22">
    <cfRule type="expression" dxfId="13" priority="60">
      <formula>G5="x"</formula>
    </cfRule>
  </conditionalFormatting>
  <conditionalFormatting sqref="H4:H38">
    <cfRule type="containsText" dxfId="0" priority="61" operator="containsText" text="Include">
      <formula>NOT(ISERROR(SEARCH(("Include"),(H4))))</formula>
    </cfRule>
  </conditionalFormatting>
  <conditionalFormatting sqref="H4:H38">
    <cfRule type="containsText" dxfId="6" priority="62" operator="containsText" text="Reduce">
      <formula>NOT(ISERROR(SEARCH(("Reduce"),(H4))))</formula>
    </cfRule>
  </conditionalFormatting>
  <conditionalFormatting sqref="H4:H38">
    <cfRule type="containsText" dxfId="5" priority="63" operator="containsText" text="N/A">
      <formula>NOT(ISERROR(SEARCH(("N/A"),(H4))))</formula>
    </cfRule>
  </conditionalFormatting>
  <conditionalFormatting sqref="H4:H38">
    <cfRule type="containsText" dxfId="5" priority="64" operator="containsText" text="Require">
      <formula>NOT(ISERROR(SEARCH(("Require"),(H4))))</formula>
    </cfRule>
  </conditionalFormatting>
  <conditionalFormatting sqref="H4:H38">
    <cfRule type="containsText" dxfId="5" priority="65" operator="containsText" text="Only">
      <formula>NOT(ISERROR(SEARCH(("Only"),(H4))))</formula>
    </cfRule>
  </conditionalFormatting>
  <conditionalFormatting sqref="B4:B38">
    <cfRule type="expression" dxfId="8" priority="66">
      <formula>G4:G38="x"</formula>
    </cfRule>
  </conditionalFormatting>
  <conditionalFormatting sqref="E4:E38">
    <cfRule type="expression" dxfId="14" priority="67">
      <formula>G4:G38="x"</formula>
    </cfRule>
  </conditionalFormatting>
  <conditionalFormatting sqref="F4:F38">
    <cfRule type="expression" dxfId="14" priority="68">
      <formula>G4:G38="x"</formula>
    </cfRule>
  </conditionalFormatting>
  <dataValidations>
    <dataValidation type="list" allowBlank="1" sqref="C44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57.29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173</v>
      </c>
    </row>
    <row r="3">
      <c r="A3" s="33" t="s">
        <v>111</v>
      </c>
      <c r="B3" s="142" t="s">
        <v>112</v>
      </c>
      <c r="C3" s="35">
        <v>40354.0</v>
      </c>
      <c r="D3" s="35">
        <v>41760.0</v>
      </c>
      <c r="E3" s="36">
        <f t="shared" ref="E3:E36" si="1">IF(G3="x",C3,0)</f>
        <v>40354</v>
      </c>
      <c r="F3" s="36">
        <f t="shared" ref="F3:F36" si="2">IF(G3="x",D3,0)</f>
        <v>41760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172">
        <v>0.0</v>
      </c>
      <c r="D4" s="172">
        <v>0.0</v>
      </c>
      <c r="E4" s="43">
        <f t="shared" si="1"/>
        <v>0</v>
      </c>
      <c r="F4" s="43">
        <f t="shared" si="2"/>
        <v>0</v>
      </c>
      <c r="G4" s="173" t="s">
        <v>30</v>
      </c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172">
        <v>0.0</v>
      </c>
      <c r="D5" s="172">
        <v>0.0</v>
      </c>
      <c r="E5" s="43">
        <f t="shared" si="1"/>
        <v>0</v>
      </c>
      <c r="F5" s="43">
        <f t="shared" si="2"/>
        <v>0</v>
      </c>
      <c r="G5" s="173"/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145" t="s">
        <v>114</v>
      </c>
      <c r="B7" s="174" t="s">
        <v>115</v>
      </c>
      <c r="C7" s="172">
        <v>0.0</v>
      </c>
      <c r="D7" s="172">
        <v>0.0</v>
      </c>
      <c r="E7" s="43">
        <f t="shared" si="1"/>
        <v>0</v>
      </c>
      <c r="F7" s="43">
        <f t="shared" si="2"/>
        <v>0</v>
      </c>
      <c r="G7" s="173" t="s">
        <v>30</v>
      </c>
      <c r="H7" s="149" t="str">
        <f>if(and(G7="x",G31=""),"Requires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if(and(G8="x",G24=""),"Requires Safety Group (AJ1)","")</f>
        <v/>
      </c>
    </row>
    <row r="9" ht="15.75" customHeight="1">
      <c r="A9" s="145" t="s">
        <v>38</v>
      </c>
      <c r="B9" s="146" t="s">
        <v>118</v>
      </c>
      <c r="C9" s="41">
        <v>149.0</v>
      </c>
      <c r="D9" s="41">
        <v>165.0</v>
      </c>
      <c r="E9" s="43">
        <f t="shared" si="1"/>
        <v>0</v>
      </c>
      <c r="F9" s="43">
        <f t="shared" si="2"/>
        <v>0</v>
      </c>
      <c r="G9" s="44"/>
      <c r="H9" s="77"/>
    </row>
    <row r="10" ht="15.75" customHeight="1">
      <c r="A10" s="39" t="s">
        <v>119</v>
      </c>
      <c r="B10" s="174" t="s">
        <v>120</v>
      </c>
      <c r="C10" s="172">
        <v>0.0</v>
      </c>
      <c r="D10" s="172">
        <v>0.0</v>
      </c>
      <c r="E10" s="43">
        <f t="shared" si="1"/>
        <v>0</v>
      </c>
      <c r="F10" s="43">
        <f t="shared" si="2"/>
        <v>0</v>
      </c>
      <c r="G10" s="173" t="s">
        <v>30</v>
      </c>
      <c r="H10" s="149"/>
    </row>
    <row r="11">
      <c r="A11" s="145" t="s">
        <v>40</v>
      </c>
      <c r="B11" s="146" t="s">
        <v>121</v>
      </c>
      <c r="C11" s="46">
        <v>536.0</v>
      </c>
      <c r="D11" s="46">
        <v>595.0</v>
      </c>
      <c r="E11" s="43">
        <f t="shared" si="1"/>
        <v>0</v>
      </c>
      <c r="F11" s="43">
        <f t="shared" si="2"/>
        <v>0</v>
      </c>
      <c r="G11" s="44"/>
      <c r="H11" s="51" t="str">
        <f>if(G5="x","Included with V6 Turbo Diesel (EXJ)","")</f>
        <v/>
      </c>
    </row>
    <row r="12">
      <c r="A12" s="39" t="s">
        <v>42</v>
      </c>
      <c r="B12" s="148" t="s">
        <v>122</v>
      </c>
      <c r="C12" s="41">
        <v>266.0</v>
      </c>
      <c r="D12" s="42">
        <v>295.0</v>
      </c>
      <c r="E12" s="43">
        <f t="shared" si="1"/>
        <v>0</v>
      </c>
      <c r="F12" s="43">
        <f t="shared" si="2"/>
        <v>0</v>
      </c>
      <c r="G12" s="44"/>
      <c r="H12" s="147"/>
    </row>
    <row r="13" ht="15.75" customHeight="1">
      <c r="A13" s="39" t="s">
        <v>44</v>
      </c>
      <c r="B13" s="148" t="s">
        <v>123</v>
      </c>
      <c r="C13" s="50">
        <f>if(G17="x",0,1256)</f>
        <v>1256</v>
      </c>
      <c r="D13" s="50">
        <f>if(G17="x",0,1395)</f>
        <v>1395</v>
      </c>
      <c r="E13" s="43">
        <f t="shared" si="1"/>
        <v>0</v>
      </c>
      <c r="F13" s="43">
        <f t="shared" si="2"/>
        <v>0</v>
      </c>
      <c r="G13" s="44"/>
      <c r="H13" s="147" t="str">
        <f>if(G17="x","Included with Dual Top Group (AEN)","")</f>
        <v/>
      </c>
    </row>
    <row r="14">
      <c r="A14" s="39" t="s">
        <v>124</v>
      </c>
      <c r="B14" s="148" t="s">
        <v>125</v>
      </c>
      <c r="C14" s="41">
        <v>806.0</v>
      </c>
      <c r="D14" s="42">
        <v>895.0</v>
      </c>
      <c r="E14" s="43">
        <f t="shared" si="1"/>
        <v>0</v>
      </c>
      <c r="F14" s="43">
        <f t="shared" si="2"/>
        <v>0</v>
      </c>
      <c r="G14" s="44"/>
      <c r="H14" s="147"/>
    </row>
    <row r="15">
      <c r="A15" s="39" t="s">
        <v>126</v>
      </c>
      <c r="B15" s="148" t="s">
        <v>127</v>
      </c>
      <c r="C15" s="46">
        <v>896.0</v>
      </c>
      <c r="D15" s="46">
        <v>995.0</v>
      </c>
      <c r="E15" s="43">
        <f t="shared" si="1"/>
        <v>0</v>
      </c>
      <c r="F15" s="43">
        <f t="shared" si="2"/>
        <v>0</v>
      </c>
      <c r="G15" s="44"/>
      <c r="H15" s="51"/>
    </row>
    <row r="16">
      <c r="A16" s="39" t="s">
        <v>128</v>
      </c>
      <c r="B16" s="174" t="s">
        <v>129</v>
      </c>
      <c r="C16" s="172">
        <v>0.0</v>
      </c>
      <c r="D16" s="172">
        <v>0.0</v>
      </c>
      <c r="E16" s="43">
        <f t="shared" si="1"/>
        <v>0</v>
      </c>
      <c r="F16" s="43">
        <f t="shared" si="2"/>
        <v>0</v>
      </c>
      <c r="G16" s="173" t="s">
        <v>30</v>
      </c>
      <c r="H16" s="51"/>
    </row>
    <row r="17">
      <c r="A17" s="39" t="s">
        <v>130</v>
      </c>
      <c r="B17" s="148" t="s">
        <v>131</v>
      </c>
      <c r="C17" s="41">
        <v>2156.0</v>
      </c>
      <c r="D17" s="41">
        <v>2395.0</v>
      </c>
      <c r="E17" s="43">
        <f t="shared" si="1"/>
        <v>0</v>
      </c>
      <c r="F17" s="43">
        <f t="shared" si="2"/>
        <v>0</v>
      </c>
      <c r="G17" s="44"/>
      <c r="H17" s="149" t="str">
        <f>if(AND(G17="x",G23="",G34="",G35=""),"Requires Tonneau Option;Roll-Up (CSD), Hard Tri-fold (CSU) or Soft Tri-fold (CT6)","")</f>
        <v/>
      </c>
    </row>
    <row r="18">
      <c r="A18" s="145" t="s">
        <v>48</v>
      </c>
      <c r="B18" s="146" t="s">
        <v>49</v>
      </c>
      <c r="C18" s="41">
        <v>86.0</v>
      </c>
      <c r="D18" s="42">
        <v>95.0</v>
      </c>
      <c r="E18" s="43">
        <f t="shared" si="1"/>
        <v>0</v>
      </c>
      <c r="F18" s="43">
        <f t="shared" si="2"/>
        <v>0</v>
      </c>
      <c r="G18" s="44"/>
      <c r="H18" s="147"/>
    </row>
    <row r="19" ht="15.75" customHeight="1">
      <c r="A19" s="39" t="s">
        <v>134</v>
      </c>
      <c r="B19" s="148" t="s">
        <v>135</v>
      </c>
      <c r="C19" s="41">
        <v>500.0</v>
      </c>
      <c r="D19" s="41">
        <v>595.0</v>
      </c>
      <c r="E19" s="43">
        <f t="shared" si="1"/>
        <v>0</v>
      </c>
      <c r="F19" s="43">
        <f t="shared" si="2"/>
        <v>0</v>
      </c>
      <c r="G19" s="44"/>
      <c r="H19" s="149" t="str">
        <f>if(G19="x",if(or(G17="x",G13="x"),"","Requires Dual Top Group (AEN) or Black 3-Pc Hard Top (HT1)"),"")</f>
        <v/>
      </c>
    </row>
    <row r="20">
      <c r="A20" s="39" t="s">
        <v>50</v>
      </c>
      <c r="B20" s="148" t="s">
        <v>51</v>
      </c>
      <c r="C20" s="41">
        <v>180.0</v>
      </c>
      <c r="D20" s="41">
        <v>200.0</v>
      </c>
      <c r="E20" s="43">
        <f t="shared" si="1"/>
        <v>0</v>
      </c>
      <c r="F20" s="43">
        <f t="shared" si="2"/>
        <v>0</v>
      </c>
      <c r="G20" s="44"/>
      <c r="H20" s="52"/>
    </row>
    <row r="21" ht="15.75" customHeight="1">
      <c r="A21" s="39" t="s">
        <v>132</v>
      </c>
      <c r="B21" s="148" t="s">
        <v>133</v>
      </c>
      <c r="C21" s="41">
        <v>913.0</v>
      </c>
      <c r="D21" s="41">
        <v>1015.0</v>
      </c>
      <c r="E21" s="43">
        <f t="shared" si="1"/>
        <v>0</v>
      </c>
      <c r="F21" s="43">
        <f t="shared" si="2"/>
        <v>0</v>
      </c>
      <c r="G21" s="44"/>
      <c r="H21" s="149" t="str">
        <f>(if(and(G21="x",G24=""),"Requires Safety Group (AJ1)",""))</f>
        <v/>
      </c>
    </row>
    <row r="22">
      <c r="A22" s="39" t="s">
        <v>138</v>
      </c>
      <c r="B22" s="148" t="s">
        <v>139</v>
      </c>
      <c r="C22" s="49">
        <f>if(G17="x",0,536)</f>
        <v>536</v>
      </c>
      <c r="D22" s="50">
        <f>if(G17="x",0,595)</f>
        <v>595</v>
      </c>
      <c r="E22" s="43">
        <f t="shared" si="1"/>
        <v>0</v>
      </c>
      <c r="F22" s="43">
        <f t="shared" si="2"/>
        <v>0</v>
      </c>
      <c r="G22" s="44"/>
      <c r="H22" s="147" t="str">
        <f>if(G17="x","Included with AEN (Dual Top Group)[F17]","")</f>
        <v/>
      </c>
    </row>
    <row r="23" ht="15.75" customHeight="1">
      <c r="A23" s="39" t="s">
        <v>54</v>
      </c>
      <c r="B23" s="148" t="s">
        <v>55</v>
      </c>
      <c r="C23" s="41">
        <v>536.0</v>
      </c>
      <c r="D23" s="41">
        <v>595.0</v>
      </c>
      <c r="E23" s="43">
        <f t="shared" si="1"/>
        <v>0</v>
      </c>
      <c r="F23" s="43">
        <f t="shared" si="2"/>
        <v>0</v>
      </c>
      <c r="G23" s="44"/>
      <c r="H23" s="52" t="str">
        <f>if(G35="x","N/A with Mopar Soft Tri-fold (CT6) [F23]","")</f>
        <v/>
      </c>
    </row>
    <row r="24">
      <c r="A24" s="39" t="s">
        <v>140</v>
      </c>
      <c r="B24" s="148" t="s">
        <v>141</v>
      </c>
      <c r="C24" s="41">
        <v>896.0</v>
      </c>
      <c r="D24" s="42">
        <v>995.0</v>
      </c>
      <c r="E24" s="43">
        <f t="shared" si="1"/>
        <v>0</v>
      </c>
      <c r="F24" s="43">
        <f t="shared" si="2"/>
        <v>0</v>
      </c>
      <c r="G24" s="44"/>
      <c r="H24" s="147"/>
    </row>
    <row r="25" ht="15.75" customHeight="1">
      <c r="A25" s="39" t="s">
        <v>142</v>
      </c>
      <c r="B25" s="148" t="s">
        <v>143</v>
      </c>
      <c r="C25" s="41">
        <v>626.0</v>
      </c>
      <c r="D25" s="41">
        <v>695.0</v>
      </c>
      <c r="E25" s="43">
        <f t="shared" si="1"/>
        <v>0</v>
      </c>
      <c r="F25" s="43">
        <f t="shared" si="2"/>
        <v>0</v>
      </c>
      <c r="G25" s="44"/>
      <c r="H25" s="149" t="str">
        <f>if(and(G25="x",G4=""),"Requires 8-Speed Automatic 850Re Transmission (DFT)","")</f>
        <v/>
      </c>
    </row>
    <row r="26" ht="15.75" customHeight="1">
      <c r="A26" s="39" t="s">
        <v>144</v>
      </c>
      <c r="B26" s="148" t="s">
        <v>145</v>
      </c>
      <c r="C26" s="41">
        <v>626.0</v>
      </c>
      <c r="D26" s="42">
        <v>695.0</v>
      </c>
      <c r="E26" s="43">
        <f t="shared" si="1"/>
        <v>0</v>
      </c>
      <c r="F26" s="43">
        <f t="shared" si="2"/>
        <v>0</v>
      </c>
      <c r="G26" s="44"/>
      <c r="H26" s="147"/>
    </row>
    <row r="27" ht="15.75" customHeight="1">
      <c r="A27" s="39" t="s">
        <v>56</v>
      </c>
      <c r="B27" s="174" t="s">
        <v>57</v>
      </c>
      <c r="C27" s="172">
        <v>0.0</v>
      </c>
      <c r="D27" s="172">
        <v>0.0</v>
      </c>
      <c r="E27" s="43">
        <f t="shared" si="1"/>
        <v>0</v>
      </c>
      <c r="F27" s="43">
        <f t="shared" si="2"/>
        <v>0</v>
      </c>
      <c r="G27" s="173" t="s">
        <v>30</v>
      </c>
      <c r="H27" s="149"/>
    </row>
    <row r="28">
      <c r="A28" s="39" t="s">
        <v>146</v>
      </c>
      <c r="B28" s="148" t="s">
        <v>59</v>
      </c>
      <c r="C28" s="42">
        <v>27.0</v>
      </c>
      <c r="D28" s="42">
        <v>30.0</v>
      </c>
      <c r="E28" s="43">
        <f t="shared" si="1"/>
        <v>0</v>
      </c>
      <c r="F28" s="43">
        <f t="shared" si="2"/>
        <v>0</v>
      </c>
      <c r="G28" s="44"/>
      <c r="H28" s="147"/>
    </row>
    <row r="29" ht="15.75" customHeight="1">
      <c r="A29" s="39" t="s">
        <v>60</v>
      </c>
      <c r="B29" s="148" t="s">
        <v>61</v>
      </c>
      <c r="C29" s="41">
        <v>68.0</v>
      </c>
      <c r="D29" s="42">
        <v>75.0</v>
      </c>
      <c r="E29" s="43">
        <f t="shared" si="1"/>
        <v>0</v>
      </c>
      <c r="F29" s="43">
        <f t="shared" si="2"/>
        <v>0</v>
      </c>
      <c r="G29" s="44"/>
      <c r="H29" s="149" t="str">
        <f>if(G29="x",if(or(G17="x",G22="x"),"","Requires STB (Premium Soft Top)[F18] or AEN (Dual Top Group)[F17]"),"")</f>
        <v/>
      </c>
    </row>
    <row r="30" ht="15.75" customHeight="1">
      <c r="A30" s="39" t="s">
        <v>62</v>
      </c>
      <c r="B30" s="148" t="s">
        <v>63</v>
      </c>
      <c r="C30" s="41">
        <v>446.0</v>
      </c>
      <c r="D30" s="42">
        <v>495.0</v>
      </c>
      <c r="E30" s="43">
        <f t="shared" si="1"/>
        <v>0</v>
      </c>
      <c r="F30" s="43">
        <f t="shared" si="2"/>
        <v>0</v>
      </c>
      <c r="G30" s="44"/>
      <c r="H30" s="147"/>
    </row>
    <row r="31">
      <c r="A31" s="145" t="s">
        <v>147</v>
      </c>
      <c r="B31" s="174" t="s">
        <v>148</v>
      </c>
      <c r="C31" s="172">
        <v>0.0</v>
      </c>
      <c r="D31" s="172">
        <v>0.0</v>
      </c>
      <c r="E31" s="43">
        <f t="shared" si="1"/>
        <v>0</v>
      </c>
      <c r="F31" s="43">
        <f t="shared" si="2"/>
        <v>0</v>
      </c>
      <c r="G31" s="173" t="s">
        <v>30</v>
      </c>
      <c r="H31" s="149" t="str">
        <f>if(and(G31="x",G16=""),"Requires Convenience Group (ADC)","")</f>
        <v/>
      </c>
    </row>
    <row r="32">
      <c r="A32" s="39" t="s">
        <v>64</v>
      </c>
      <c r="B32" s="148" t="s">
        <v>149</v>
      </c>
      <c r="C32" s="46">
        <v>316.0</v>
      </c>
      <c r="D32" s="46">
        <v>350.0</v>
      </c>
      <c r="E32" s="43">
        <f t="shared" si="1"/>
        <v>0</v>
      </c>
      <c r="F32" s="43">
        <f t="shared" si="2"/>
        <v>0</v>
      </c>
      <c r="G32" s="44"/>
      <c r="H32" s="149"/>
    </row>
    <row r="33" ht="15.75" customHeight="1">
      <c r="A33" s="39" t="s">
        <v>150</v>
      </c>
      <c r="B33" s="148" t="s">
        <v>151</v>
      </c>
      <c r="C33" s="41">
        <v>266.0</v>
      </c>
      <c r="D33" s="42">
        <v>295.0</v>
      </c>
      <c r="E33" s="43">
        <f t="shared" si="1"/>
        <v>0</v>
      </c>
      <c r="F33" s="43">
        <f t="shared" si="2"/>
        <v>0</v>
      </c>
      <c r="G33" s="44"/>
      <c r="H33" s="149" t="str">
        <f>if(G33="x",if(or(G7="x",G10="x"),"","Requires 8.4 Radio (AEK) or Alpine Premium Audio (RC4)"),"")</f>
        <v/>
      </c>
    </row>
    <row r="34" ht="15.75" customHeight="1">
      <c r="A34" s="39" t="s">
        <v>66</v>
      </c>
      <c r="B34" s="148" t="s">
        <v>67</v>
      </c>
      <c r="C34" s="53">
        <v>896.0</v>
      </c>
      <c r="D34" s="53">
        <v>995.0</v>
      </c>
      <c r="E34" s="43">
        <f t="shared" si="1"/>
        <v>0</v>
      </c>
      <c r="F34" s="43">
        <f t="shared" si="2"/>
        <v>0</v>
      </c>
      <c r="G34" s="44"/>
      <c r="H34" s="52" t="str">
        <f>if(or(G23="x",G35="x"),"N/A with Roll-Up Tonneau (CSD) [F21] or Mopar Soft Tri-fold (CT6) [F23]","")</f>
        <v/>
      </c>
    </row>
    <row r="35" ht="15.75" customHeight="1">
      <c r="A35" s="39" t="s">
        <v>68</v>
      </c>
      <c r="B35" s="148" t="s">
        <v>69</v>
      </c>
      <c r="C35" s="53">
        <v>563.0</v>
      </c>
      <c r="D35" s="53">
        <v>625.0</v>
      </c>
      <c r="E35" s="43">
        <f t="shared" si="1"/>
        <v>0</v>
      </c>
      <c r="F35" s="43">
        <f t="shared" si="2"/>
        <v>0</v>
      </c>
      <c r="G35" s="54"/>
      <c r="H35" s="48" t="str">
        <f>if(or(G23="x",G34="x"),"N/A with Roll-Up Tonneau (CSD) [F21] or Mopar Hard Tri-fold (CSU) [F22]","")</f>
        <v/>
      </c>
    </row>
    <row r="36">
      <c r="A36" s="39"/>
      <c r="B36" s="40" t="s">
        <v>70</v>
      </c>
      <c r="C36" s="41">
        <v>220.0</v>
      </c>
      <c r="D36" s="41">
        <v>245.0</v>
      </c>
      <c r="E36" s="43">
        <f t="shared" si="1"/>
        <v>0</v>
      </c>
      <c r="F36" s="55">
        <f t="shared" si="2"/>
        <v>0</v>
      </c>
      <c r="G36" s="150"/>
      <c r="H36" s="57" t="s">
        <v>71</v>
      </c>
    </row>
    <row r="37">
      <c r="A37" s="58"/>
      <c r="B37" s="151" t="str">
        <f>'Mopar Add-Ons'!B24</f>
        <v>Total Mopar Add-On Cost</v>
      </c>
      <c r="C37" s="60"/>
      <c r="D37" s="60"/>
      <c r="E37" s="61">
        <f>'Mopar Add-Ons'!E24</f>
        <v>0</v>
      </c>
      <c r="F37" s="61">
        <f>'Mopar Add-Ons'!F24</f>
        <v>0</v>
      </c>
      <c r="G37" s="152"/>
      <c r="H37" s="64" t="str">
        <f>'Mopar Add-Ons'!H24</f>
        <v>Price pulled from sheet "Mopar Add-Ons"</v>
      </c>
    </row>
    <row r="38">
      <c r="A38" s="65"/>
      <c r="B38" s="153" t="s">
        <v>72</v>
      </c>
      <c r="C38" s="153"/>
      <c r="D38" s="153"/>
      <c r="E38" s="69">
        <f t="shared" ref="E38:F38" si="3">SUM(E3:E37)</f>
        <v>40354</v>
      </c>
      <c r="F38" s="69">
        <f t="shared" si="3"/>
        <v>41760</v>
      </c>
      <c r="G38" s="154"/>
      <c r="H38" s="154"/>
    </row>
    <row r="39" ht="15.75" customHeight="1">
      <c r="A39" s="155"/>
      <c r="B39" s="73" t="s">
        <v>73</v>
      </c>
      <c r="C39" s="74"/>
      <c r="D39" s="74"/>
      <c r="E39" s="75"/>
      <c r="F39" s="76">
        <f>F38+D55</f>
        <v>41760</v>
      </c>
      <c r="G39" s="72"/>
      <c r="H39" s="83"/>
    </row>
    <row r="40" ht="15.75" customHeight="1">
      <c r="A40" s="72"/>
      <c r="B40" s="72"/>
      <c r="C40" s="72"/>
      <c r="D40" s="72"/>
      <c r="E40" s="72"/>
      <c r="F40" s="72"/>
      <c r="G40" s="72"/>
      <c r="H40" s="83"/>
    </row>
    <row r="41" ht="15.0" customHeight="1">
      <c r="A41" s="78"/>
      <c r="B41" s="79" t="s">
        <v>23</v>
      </c>
      <c r="C41" s="80"/>
      <c r="D41" s="80">
        <f>F38</f>
        <v>41760</v>
      </c>
      <c r="E41" s="44"/>
      <c r="F41" s="81" t="s">
        <v>174</v>
      </c>
      <c r="G41" s="82"/>
      <c r="H41" s="175" t="s">
        <v>175</v>
      </c>
    </row>
    <row r="42" ht="15.0" customHeight="1">
      <c r="A42" s="78"/>
      <c r="B42" s="79" t="s">
        <v>22</v>
      </c>
      <c r="C42" s="80"/>
      <c r="D42" s="80">
        <f>E38</f>
        <v>40354</v>
      </c>
      <c r="E42" s="44"/>
      <c r="G42" s="84"/>
      <c r="H42" s="176" t="s">
        <v>176</v>
      </c>
    </row>
    <row r="43" ht="15.75" customHeight="1">
      <c r="A43" s="78"/>
      <c r="B43" s="79" t="s">
        <v>75</v>
      </c>
      <c r="C43" s="85">
        <v>0.03</v>
      </c>
      <c r="D43" s="80">
        <f>E38*(1-C43)</f>
        <v>39143.38</v>
      </c>
      <c r="E43" s="44"/>
      <c r="G43" s="84"/>
      <c r="H43" s="176" t="s">
        <v>177</v>
      </c>
    </row>
    <row r="44" ht="15.75" customHeight="1">
      <c r="A44" s="78"/>
      <c r="B44" s="87" t="s">
        <v>18</v>
      </c>
      <c r="C44" s="88"/>
      <c r="D44" s="89"/>
      <c r="E44" s="89"/>
      <c r="F44" s="90"/>
      <c r="G44" s="91"/>
      <c r="H44" s="176" t="s">
        <v>178</v>
      </c>
    </row>
    <row r="45" ht="15.75" customHeight="1">
      <c r="A45" s="78"/>
      <c r="B45" s="92" t="s">
        <v>76</v>
      </c>
      <c r="C45" s="93"/>
      <c r="D45" s="93">
        <v>1495.0</v>
      </c>
      <c r="E45" s="94">
        <f>(((SUM(((IF(E41="x",D41,0))+IF(E42="x",D42,0))+IF(E43="x",D43,0))+(IF(E44="x",D44,0))))+D45)</f>
        <v>1495</v>
      </c>
      <c r="F45" s="95"/>
      <c r="G45" s="96"/>
      <c r="H45" s="176" t="s">
        <v>179</v>
      </c>
    </row>
    <row r="46" ht="15.75" customHeight="1">
      <c r="A46" s="78"/>
      <c r="B46" s="97" t="s">
        <v>77</v>
      </c>
      <c r="C46" s="98"/>
      <c r="D46" s="98"/>
      <c r="E46" s="99"/>
      <c r="F46" s="100" t="s">
        <v>78</v>
      </c>
      <c r="G46" s="101"/>
      <c r="H46" s="176" t="s">
        <v>180</v>
      </c>
    </row>
    <row r="47" ht="15.75" customHeight="1">
      <c r="A47" s="78"/>
      <c r="B47" s="97" t="s">
        <v>79</v>
      </c>
      <c r="C47" s="98"/>
      <c r="D47" s="98"/>
      <c r="E47" s="99"/>
      <c r="F47" s="100" t="s">
        <v>80</v>
      </c>
      <c r="G47" s="101"/>
      <c r="H47" s="176" t="s">
        <v>181</v>
      </c>
    </row>
    <row r="48" ht="15.75" customHeight="1">
      <c r="A48" s="78"/>
      <c r="B48" s="97" t="s">
        <v>81</v>
      </c>
      <c r="C48" s="102"/>
      <c r="D48" s="102"/>
      <c r="E48" s="103"/>
      <c r="F48" s="100" t="s">
        <v>82</v>
      </c>
      <c r="G48" s="101"/>
      <c r="H48" s="83"/>
    </row>
    <row r="49" ht="15.75" customHeight="1">
      <c r="A49" s="78"/>
      <c r="B49" s="97" t="s">
        <v>83</v>
      </c>
      <c r="C49" s="102"/>
      <c r="D49" s="102"/>
      <c r="E49" s="103"/>
      <c r="F49" s="100" t="s">
        <v>84</v>
      </c>
      <c r="G49" s="101"/>
      <c r="H49" s="83"/>
    </row>
    <row r="50" ht="15.75" customHeight="1">
      <c r="A50" s="86"/>
      <c r="B50" s="104" t="s">
        <v>85</v>
      </c>
      <c r="C50" s="105"/>
      <c r="D50" s="106">
        <v>0.085</v>
      </c>
      <c r="E50" s="107">
        <f>(E45-E46+E48+E49)*D50</f>
        <v>127.075</v>
      </c>
      <c r="F50" s="100" t="s">
        <v>86</v>
      </c>
      <c r="G50" s="101"/>
      <c r="H50" s="83"/>
    </row>
    <row r="51" ht="15.75" customHeight="1">
      <c r="A51" s="86"/>
      <c r="B51" s="110" t="s">
        <v>87</v>
      </c>
      <c r="C51" s="111"/>
      <c r="D51" s="111"/>
      <c r="E51" s="111">
        <f>sum(E45-E46-E47+E48+E49+E50)</f>
        <v>1622.075</v>
      </c>
      <c r="F51" s="96"/>
      <c r="G51" s="112"/>
      <c r="H51" s="83"/>
    </row>
    <row r="52" ht="15.75" customHeight="1">
      <c r="A52" s="86"/>
      <c r="B52" s="115"/>
      <c r="C52" s="113"/>
      <c r="D52" s="113"/>
      <c r="E52" s="113"/>
      <c r="F52" s="116"/>
      <c r="G52" s="116"/>
      <c r="H52" s="83"/>
    </row>
    <row r="53" ht="15.75" customHeight="1">
      <c r="A53" s="86"/>
      <c r="B53" s="117"/>
      <c r="C53" s="118" t="s">
        <v>88</v>
      </c>
      <c r="D53" s="118"/>
      <c r="E53" s="113"/>
      <c r="F53" s="116"/>
      <c r="G53" s="116"/>
      <c r="H53" s="83"/>
    </row>
    <row r="54" ht="15.75" customHeight="1">
      <c r="A54" s="86"/>
      <c r="B54" s="83"/>
      <c r="C54" s="120" t="s">
        <v>89</v>
      </c>
      <c r="D54" s="121"/>
      <c r="E54" s="55">
        <f>E51</f>
        <v>1622.075</v>
      </c>
      <c r="F54" s="122" t="s">
        <v>90</v>
      </c>
      <c r="G54" s="101"/>
      <c r="H54" s="83"/>
    </row>
    <row r="55" ht="15.75" customHeight="1">
      <c r="A55" s="86"/>
      <c r="B55" s="83"/>
      <c r="C55" s="120" t="s">
        <v>91</v>
      </c>
      <c r="D55" s="121"/>
      <c r="E55" s="123">
        <v>0.049</v>
      </c>
      <c r="F55" s="124" t="s">
        <v>92</v>
      </c>
      <c r="G55" s="125"/>
      <c r="H55" s="83"/>
    </row>
    <row r="56" ht="15.75" customHeight="1">
      <c r="A56" s="86"/>
      <c r="B56" s="83"/>
      <c r="C56" s="126" t="s">
        <v>93</v>
      </c>
      <c r="D56" s="127"/>
      <c r="E56" s="128">
        <v>72.0</v>
      </c>
      <c r="F56" s="129" t="s">
        <v>94</v>
      </c>
      <c r="G56" s="130"/>
      <c r="H56" s="83"/>
    </row>
    <row r="57" ht="15.75" customHeight="1">
      <c r="A57" s="109"/>
      <c r="B57" s="115"/>
      <c r="C57" s="112" t="s">
        <v>95</v>
      </c>
      <c r="D57" s="112"/>
      <c r="E57" s="131">
        <f>PMT(E55/12,E56,-E54)</f>
        <v>26.0482338</v>
      </c>
      <c r="F57" s="77"/>
      <c r="G57" s="131"/>
      <c r="H57" s="115"/>
    </row>
    <row r="58" ht="15.75" customHeight="1">
      <c r="A58" s="114"/>
      <c r="B58" s="115"/>
      <c r="C58" s="115"/>
      <c r="D58" s="115"/>
      <c r="E58" s="115"/>
      <c r="F58" s="115"/>
      <c r="G58" s="115"/>
      <c r="H58" s="132"/>
    </row>
    <row r="59" ht="15.75" customHeight="1">
      <c r="A59" s="114"/>
      <c r="B59" s="115"/>
      <c r="C59" s="115"/>
      <c r="D59" s="115"/>
      <c r="E59" s="115"/>
      <c r="F59" s="115"/>
      <c r="G59" s="115"/>
      <c r="H59" s="132" t="s">
        <v>96</v>
      </c>
    </row>
    <row r="60" ht="15.75" customHeight="1">
      <c r="A60" s="114"/>
      <c r="B60" s="115"/>
      <c r="C60" s="115"/>
      <c r="D60" s="115"/>
      <c r="E60" s="115"/>
      <c r="F60" s="115"/>
      <c r="G60" s="115"/>
      <c r="H60" s="115"/>
    </row>
  </sheetData>
  <mergeCells count="1">
    <mergeCell ref="F41:G44"/>
  </mergeCells>
  <conditionalFormatting sqref="B21">
    <cfRule type="expression" dxfId="8" priority="1">
      <formula>G21:G56="x"</formula>
    </cfRule>
  </conditionalFormatting>
  <conditionalFormatting sqref="E21">
    <cfRule type="expression" dxfId="14" priority="2">
      <formula>G21:G56="x"</formula>
    </cfRule>
  </conditionalFormatting>
  <conditionalFormatting sqref="F21">
    <cfRule type="expression" dxfId="14" priority="3">
      <formula>G21:G56="x"</formula>
    </cfRule>
  </conditionalFormatting>
  <conditionalFormatting sqref="C34:D35">
    <cfRule type="cellIs" dxfId="0" priority="4" operator="equal">
      <formula>0</formula>
    </cfRule>
  </conditionalFormatting>
  <conditionalFormatting sqref="E4:F38">
    <cfRule type="cellIs" dxfId="1" priority="5" operator="equal">
      <formula>0</formula>
    </cfRule>
  </conditionalFormatting>
  <conditionalFormatting sqref="C13">
    <cfRule type="expression" dxfId="0" priority="6">
      <formula>G17="x"</formula>
    </cfRule>
  </conditionalFormatting>
  <conditionalFormatting sqref="D13">
    <cfRule type="expression" dxfId="0" priority="7">
      <formula>G17="x"</formula>
    </cfRule>
  </conditionalFormatting>
  <conditionalFormatting sqref="C21:C22">
    <cfRule type="expression" dxfId="0" priority="8">
      <formula>G17="x"</formula>
    </cfRule>
  </conditionalFormatting>
  <conditionalFormatting sqref="D21:D22">
    <cfRule type="expression" dxfId="0" priority="9">
      <formula>G17="x"</formula>
    </cfRule>
  </conditionalFormatting>
  <conditionalFormatting sqref="C11">
    <cfRule type="expression" dxfId="0" priority="10">
      <formula>#REF!="x"</formula>
    </cfRule>
  </conditionalFormatting>
  <conditionalFormatting sqref="D11">
    <cfRule type="expression" dxfId="0" priority="11">
      <formula>#REF!="x"</formula>
    </cfRule>
  </conditionalFormatting>
  <conditionalFormatting sqref="C32">
    <cfRule type="expression" dxfId="0" priority="12">
      <formula>#REF!="x"</formula>
    </cfRule>
  </conditionalFormatting>
  <conditionalFormatting sqref="D32">
    <cfRule type="expression" dxfId="0" priority="13">
      <formula>#REF!="x"</formula>
    </cfRule>
  </conditionalFormatting>
  <conditionalFormatting sqref="G32">
    <cfRule type="expression" dxfId="2" priority="14">
      <formula>and(#REF!="x",G32="")</formula>
    </cfRule>
  </conditionalFormatting>
  <conditionalFormatting sqref="G11">
    <cfRule type="expression" dxfId="2" priority="15">
      <formula>and(#REF!="x",G11="")</formula>
    </cfRule>
  </conditionalFormatting>
  <conditionalFormatting sqref="G6">
    <cfRule type="expression" dxfId="10" priority="16">
      <formula>and(G5="x",G6="")</formula>
    </cfRule>
  </conditionalFormatting>
  <conditionalFormatting sqref="G5">
    <cfRule type="expression" dxfId="4" priority="17">
      <formula>and(G5="",G6="x")</formula>
    </cfRule>
  </conditionalFormatting>
  <conditionalFormatting sqref="G24">
    <cfRule type="expression" dxfId="10" priority="18">
      <formula>and(G24="",G8="x")</formula>
    </cfRule>
  </conditionalFormatting>
  <conditionalFormatting sqref="G13">
    <cfRule type="expression" dxfId="2" priority="19">
      <formula>and(G13="",G17="x")</formula>
    </cfRule>
  </conditionalFormatting>
  <conditionalFormatting sqref="G21:G22">
    <cfRule type="expression" dxfId="2" priority="20">
      <formula>and(G21="",G17="x")</formula>
    </cfRule>
  </conditionalFormatting>
  <conditionalFormatting sqref="G13">
    <cfRule type="expression" dxfId="2" priority="21">
      <formula>and(G13="",#REF!="x")</formula>
    </cfRule>
  </conditionalFormatting>
  <conditionalFormatting sqref="G32">
    <cfRule type="expression" dxfId="2" priority="22">
      <formula>and(G32="",#REF!="x")</formula>
    </cfRule>
  </conditionalFormatting>
  <conditionalFormatting sqref="C13">
    <cfRule type="expression" dxfId="0" priority="23">
      <formula>#REF!="x"</formula>
    </cfRule>
  </conditionalFormatting>
  <conditionalFormatting sqref="D13">
    <cfRule type="expression" dxfId="0" priority="24">
      <formula>#REF!="x"</formula>
    </cfRule>
  </conditionalFormatting>
  <conditionalFormatting sqref="C32">
    <cfRule type="expression" dxfId="0" priority="25">
      <formula>#REF!="x"</formula>
    </cfRule>
  </conditionalFormatting>
  <conditionalFormatting sqref="D32">
    <cfRule type="expression" dxfId="0" priority="26">
      <formula>#REF!="x"</formula>
    </cfRule>
  </conditionalFormatting>
  <conditionalFormatting sqref="G4">
    <cfRule type="expression" dxfId="17" priority="27">
      <formula>(G5="x")</formula>
    </cfRule>
  </conditionalFormatting>
  <conditionalFormatting sqref="G4">
    <cfRule type="expression" dxfId="10" priority="28">
      <formula>and(G25="x",G4="")</formula>
    </cfRule>
  </conditionalFormatting>
  <conditionalFormatting sqref="G4">
    <cfRule type="expression" dxfId="5" priority="29">
      <formula>and(G5="x",G4="x")</formula>
    </cfRule>
  </conditionalFormatting>
  <conditionalFormatting sqref="G17">
    <cfRule type="expression" dxfId="10" priority="30">
      <formula>and(G19="x",and(G17="",G13=""))</formula>
    </cfRule>
  </conditionalFormatting>
  <conditionalFormatting sqref="G13">
    <cfRule type="expression" dxfId="10" priority="31">
      <formula>and(G19="x",G13="")</formula>
    </cfRule>
  </conditionalFormatting>
  <conditionalFormatting sqref="C6">
    <cfRule type="expression" dxfId="11" priority="32">
      <formula>G4="x"</formula>
    </cfRule>
  </conditionalFormatting>
  <conditionalFormatting sqref="D6">
    <cfRule type="expression" dxfId="11" priority="33">
      <formula>G4="x"</formula>
    </cfRule>
  </conditionalFormatting>
  <conditionalFormatting sqref="C11">
    <cfRule type="expression" dxfId="0" priority="34">
      <formula>G6="x"</formula>
    </cfRule>
  </conditionalFormatting>
  <conditionalFormatting sqref="D11">
    <cfRule type="expression" dxfId="0" priority="35">
      <formula>G6="x"</formula>
    </cfRule>
  </conditionalFormatting>
  <conditionalFormatting sqref="H4:H37">
    <cfRule type="containsText" dxfId="0" priority="36" operator="containsText" text="Include">
      <formula>NOT(ISERROR(SEARCH(("Include"),(H4))))</formula>
    </cfRule>
  </conditionalFormatting>
  <conditionalFormatting sqref="H4:H37">
    <cfRule type="containsText" dxfId="6" priority="37" operator="containsText" text="Reduce">
      <formula>NOT(ISERROR(SEARCH(("Reduce"),(H4))))</formula>
    </cfRule>
  </conditionalFormatting>
  <conditionalFormatting sqref="H4:H37">
    <cfRule type="containsText" dxfId="5" priority="38" operator="containsText" text="N/A">
      <formula>NOT(ISERROR(SEARCH(("N/A"),(H4))))</formula>
    </cfRule>
  </conditionalFormatting>
  <conditionalFormatting sqref="H4:H37">
    <cfRule type="containsText" dxfId="5" priority="39" operator="containsText" text="Require">
      <formula>NOT(ISERROR(SEARCH(("Require"),(H4))))</formula>
    </cfRule>
  </conditionalFormatting>
  <conditionalFormatting sqref="H4:H37">
    <cfRule type="containsText" dxfId="5" priority="40" operator="containsText" text="Only">
      <formula>NOT(ISERROR(SEARCH(("Only"),(H4))))</formula>
    </cfRule>
  </conditionalFormatting>
  <conditionalFormatting sqref="E4:E37">
    <cfRule type="expression" dxfId="14" priority="41">
      <formula>G4:G37="x"</formula>
    </cfRule>
  </conditionalFormatting>
  <conditionalFormatting sqref="F4:F37">
    <cfRule type="expression" dxfId="14" priority="42">
      <formula>G4:G37="x"</formula>
    </cfRule>
  </conditionalFormatting>
  <conditionalFormatting sqref="B6">
    <cfRule type="expression" dxfId="11" priority="43">
      <formula>G4="x"</formula>
    </cfRule>
  </conditionalFormatting>
  <conditionalFormatting sqref="D5">
    <cfRule type="expression" dxfId="18" priority="44">
      <formula>G4="x"</formula>
    </cfRule>
  </conditionalFormatting>
  <conditionalFormatting sqref="C5">
    <cfRule type="expression" dxfId="18" priority="45">
      <formula>G4="x"</formula>
    </cfRule>
  </conditionalFormatting>
  <conditionalFormatting sqref="B5">
    <cfRule type="expression" dxfId="18" priority="46">
      <formula>G4="x"</formula>
    </cfRule>
  </conditionalFormatting>
  <conditionalFormatting sqref="B4">
    <cfRule type="expression" dxfId="18" priority="47">
      <formula>G5="x"</formula>
    </cfRule>
  </conditionalFormatting>
  <conditionalFormatting sqref="C4">
    <cfRule type="expression" dxfId="18" priority="48">
      <formula>G5="x"</formula>
    </cfRule>
  </conditionalFormatting>
  <conditionalFormatting sqref="D4">
    <cfRule type="expression" dxfId="18" priority="49">
      <formula>G5="x"</formula>
    </cfRule>
  </conditionalFormatting>
  <conditionalFormatting sqref="G5">
    <cfRule type="expression" dxfId="17" priority="50">
      <formula>and(G5="",G4="x")</formula>
    </cfRule>
  </conditionalFormatting>
  <dataValidations>
    <dataValidation type="list" allowBlank="1" sqref="C43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57.29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110</v>
      </c>
    </row>
    <row r="3">
      <c r="A3" s="33" t="s">
        <v>111</v>
      </c>
      <c r="B3" s="142" t="s">
        <v>112</v>
      </c>
      <c r="C3" s="35">
        <v>37384.0</v>
      </c>
      <c r="D3" s="35">
        <v>38460.0</v>
      </c>
      <c r="E3" s="36">
        <f t="shared" ref="E3:E38" si="1">IF(G3="x",C3,0)</f>
        <v>37384</v>
      </c>
      <c r="F3" s="36">
        <f t="shared" ref="F3:F38" si="2">IF(G3="x",D3,0)</f>
        <v>38460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145" t="s">
        <v>114</v>
      </c>
      <c r="B7" s="146" t="s">
        <v>115</v>
      </c>
      <c r="C7" s="41">
        <v>1796.0</v>
      </c>
      <c r="D7" s="41">
        <v>1995.0</v>
      </c>
      <c r="E7" s="43">
        <f t="shared" si="1"/>
        <v>0</v>
      </c>
      <c r="F7" s="43">
        <f t="shared" si="2"/>
        <v>0</v>
      </c>
      <c r="G7" s="44"/>
      <c r="H7" s="149" t="str">
        <f>if(and(G7="x",G33=""),"Requires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if(and(G8="x",G26=""),"Requires Safety Group (AJ1)","")</f>
        <v/>
      </c>
    </row>
    <row r="9" ht="15.75" customHeight="1">
      <c r="A9" s="145" t="s">
        <v>38</v>
      </c>
      <c r="B9" s="146" t="s">
        <v>118</v>
      </c>
      <c r="C9" s="41">
        <v>149.0</v>
      </c>
      <c r="D9" s="41">
        <v>165.0</v>
      </c>
      <c r="E9" s="43">
        <f t="shared" si="1"/>
        <v>0</v>
      </c>
      <c r="F9" s="43">
        <f t="shared" si="2"/>
        <v>0</v>
      </c>
      <c r="G9" s="44"/>
      <c r="H9" s="77"/>
    </row>
    <row r="10" ht="15.75" customHeight="1">
      <c r="A10" s="39" t="s">
        <v>119</v>
      </c>
      <c r="B10" s="148" t="s">
        <v>120</v>
      </c>
      <c r="C10" s="49">
        <f>if(G7="x",0,1166)</f>
        <v>1166</v>
      </c>
      <c r="D10" s="50">
        <f>if(G7="x",0,1295)</f>
        <v>1295</v>
      </c>
      <c r="E10" s="43">
        <f t="shared" si="1"/>
        <v>0</v>
      </c>
      <c r="F10" s="43">
        <f t="shared" si="2"/>
        <v>0</v>
      </c>
      <c r="G10" s="44"/>
      <c r="H10" s="149" t="str">
        <f>if(G7="x","Included with Premium Audio Group","")</f>
        <v/>
      </c>
    </row>
    <row r="11">
      <c r="A11" s="145" t="s">
        <v>40</v>
      </c>
      <c r="B11" s="146" t="s">
        <v>121</v>
      </c>
      <c r="C11" s="49">
        <f>if(or(G6="x",G22="x"),0,536)</f>
        <v>536</v>
      </c>
      <c r="D11" s="50">
        <f>if(or(G6="x",G22="x"),0,595)</f>
        <v>595</v>
      </c>
      <c r="E11" s="43">
        <f t="shared" si="1"/>
        <v>0</v>
      </c>
      <c r="F11" s="43">
        <f t="shared" si="2"/>
        <v>0</v>
      </c>
      <c r="G11" s="44"/>
      <c r="H11" s="51" t="str">
        <f>if(or(G22="x",G5="x"),"Included with Max Tow (AJQ) [G21] or V6 Turbo Diesel (EXJ) [G6]","")</f>
        <v/>
      </c>
    </row>
    <row r="12">
      <c r="A12" s="39" t="s">
        <v>42</v>
      </c>
      <c r="B12" s="148" t="s">
        <v>122</v>
      </c>
      <c r="C12" s="41">
        <v>266.0</v>
      </c>
      <c r="D12" s="42">
        <v>295.0</v>
      </c>
      <c r="E12" s="43">
        <f t="shared" si="1"/>
        <v>0</v>
      </c>
      <c r="F12" s="43">
        <f t="shared" si="2"/>
        <v>0</v>
      </c>
      <c r="G12" s="44"/>
      <c r="H12" s="147"/>
    </row>
    <row r="13" ht="15.75" customHeight="1">
      <c r="A13" s="39" t="s">
        <v>44</v>
      </c>
      <c r="B13" s="148" t="s">
        <v>123</v>
      </c>
      <c r="C13" s="177">
        <v>0.0</v>
      </c>
      <c r="D13" s="177">
        <v>0.0</v>
      </c>
      <c r="E13" s="43">
        <f t="shared" si="1"/>
        <v>0</v>
      </c>
      <c r="F13" s="43">
        <f t="shared" si="2"/>
        <v>0</v>
      </c>
      <c r="G13" s="178" t="s">
        <v>30</v>
      </c>
      <c r="H13" s="147" t="str">
        <f>if(or(G17="x",G23="x"),"Included with Dual Top Group (AEN) or Popular Equipment Package (AEH)","")</f>
        <v/>
      </c>
    </row>
    <row r="14">
      <c r="A14" s="39" t="s">
        <v>124</v>
      </c>
      <c r="B14" s="148" t="s">
        <v>125</v>
      </c>
      <c r="C14" s="41">
        <v>806.0</v>
      </c>
      <c r="D14" s="42">
        <v>895.0</v>
      </c>
      <c r="E14" s="43">
        <f t="shared" si="1"/>
        <v>0</v>
      </c>
      <c r="F14" s="43">
        <f t="shared" si="2"/>
        <v>0</v>
      </c>
      <c r="G14" s="44"/>
      <c r="H14" s="147"/>
    </row>
    <row r="15">
      <c r="A15" s="39" t="s">
        <v>126</v>
      </c>
      <c r="B15" s="148" t="s">
        <v>127</v>
      </c>
      <c r="C15" s="42">
        <v>626.0</v>
      </c>
      <c r="D15" s="41">
        <v>695.0</v>
      </c>
      <c r="E15" s="43">
        <f t="shared" si="1"/>
        <v>0</v>
      </c>
      <c r="F15" s="43">
        <f t="shared" si="2"/>
        <v>0</v>
      </c>
      <c r="G15" s="44"/>
      <c r="H15" s="51"/>
    </row>
    <row r="16">
      <c r="A16" s="39" t="s">
        <v>128</v>
      </c>
      <c r="B16" s="148" t="s">
        <v>129</v>
      </c>
      <c r="C16" s="177">
        <v>0.0</v>
      </c>
      <c r="D16" s="177">
        <v>0.0</v>
      </c>
      <c r="E16" s="43">
        <f t="shared" si="1"/>
        <v>0</v>
      </c>
      <c r="F16" s="43">
        <f t="shared" si="2"/>
        <v>0</v>
      </c>
      <c r="G16" s="178" t="s">
        <v>30</v>
      </c>
      <c r="H16" s="51" t="str">
        <f>if(G23="x","Included with Popular Equipment Package (AEH)","")</f>
        <v/>
      </c>
    </row>
    <row r="17">
      <c r="A17" s="39" t="s">
        <v>130</v>
      </c>
      <c r="B17" s="148" t="s">
        <v>131</v>
      </c>
      <c r="C17" s="46">
        <v>990.0</v>
      </c>
      <c r="D17" s="46">
        <v>1100.0</v>
      </c>
      <c r="E17" s="43">
        <f t="shared" si="1"/>
        <v>0</v>
      </c>
      <c r="F17" s="43">
        <f t="shared" si="2"/>
        <v>0</v>
      </c>
      <c r="G17" s="44"/>
      <c r="H17" s="149" t="str">
        <f>if(AND(G17="x",G25="",G36="",G37=""),"Requires Tonneau Option;Roll-Up (CSD), Hard Tri-fold (CSU) or Soft Tri-fold (CT6)","")</f>
        <v/>
      </c>
    </row>
    <row r="18">
      <c r="A18" s="145" t="s">
        <v>48</v>
      </c>
      <c r="B18" s="146" t="s">
        <v>49</v>
      </c>
      <c r="C18" s="41">
        <v>86.0</v>
      </c>
      <c r="D18" s="42">
        <v>95.0</v>
      </c>
      <c r="E18" s="43">
        <f t="shared" si="1"/>
        <v>0</v>
      </c>
      <c r="F18" s="43">
        <f t="shared" si="2"/>
        <v>0</v>
      </c>
      <c r="G18" s="44"/>
      <c r="H18" s="147"/>
    </row>
    <row r="19" ht="15.75" customHeight="1">
      <c r="A19" s="39" t="s">
        <v>132</v>
      </c>
      <c r="B19" s="148" t="s">
        <v>133</v>
      </c>
      <c r="C19" s="41">
        <v>913.0</v>
      </c>
      <c r="D19" s="41">
        <v>1015.0</v>
      </c>
      <c r="E19" s="43">
        <f t="shared" si="1"/>
        <v>0</v>
      </c>
      <c r="F19" s="43">
        <f t="shared" si="2"/>
        <v>0</v>
      </c>
      <c r="G19" s="44"/>
      <c r="H19" s="149" t="str">
        <f>(if(and(G19="x",G26=""),"Requires Safety Group (AJ1)",""))</f>
        <v/>
      </c>
    </row>
    <row r="20" ht="15.75" customHeight="1">
      <c r="A20" s="39" t="s">
        <v>134</v>
      </c>
      <c r="B20" s="148" t="s">
        <v>135</v>
      </c>
      <c r="C20" s="41">
        <v>500.0</v>
      </c>
      <c r="D20" s="41">
        <v>595.0</v>
      </c>
      <c r="E20" s="43">
        <f t="shared" si="1"/>
        <v>0</v>
      </c>
      <c r="F20" s="43">
        <f t="shared" si="2"/>
        <v>0</v>
      </c>
      <c r="G20" s="44"/>
      <c r="H20" s="149" t="str">
        <f>if(G20="x",if(or(G17="x",G13="x"),"","Requires Dual Top Group (AEN) or Black 3-Pc Hard Top (HT1)"),"")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39" t="s">
        <v>52</v>
      </c>
      <c r="B22" s="148" t="s">
        <v>53</v>
      </c>
      <c r="C22" s="41">
        <v>940.0</v>
      </c>
      <c r="D22" s="41">
        <v>1045.0</v>
      </c>
      <c r="E22" s="43">
        <f t="shared" si="1"/>
        <v>0</v>
      </c>
      <c r="F22" s="43">
        <f t="shared" si="2"/>
        <v>0</v>
      </c>
      <c r="G22" s="44"/>
      <c r="H22" s="149" t="str">
        <f>if(G5="x","N/A with 8HP75 Automatic Transmission (DFV)","")</f>
        <v/>
      </c>
    </row>
    <row r="23" ht="15.75" customHeight="1">
      <c r="A23" s="145" t="s">
        <v>136</v>
      </c>
      <c r="B23" s="146" t="s">
        <v>137</v>
      </c>
      <c r="C23" s="41">
        <v>1256.0</v>
      </c>
      <c r="D23" s="41">
        <v>1395.0</v>
      </c>
      <c r="E23" s="43">
        <f t="shared" si="1"/>
        <v>0</v>
      </c>
      <c r="F23" s="43">
        <f t="shared" si="2"/>
        <v>0</v>
      </c>
      <c r="G23" s="44"/>
      <c r="H23" s="149"/>
    </row>
    <row r="24">
      <c r="A24" s="39" t="s">
        <v>138</v>
      </c>
      <c r="B24" s="148" t="s">
        <v>139</v>
      </c>
      <c r="C24" s="49">
        <f>if(G17="x",0,536)</f>
        <v>536</v>
      </c>
      <c r="D24" s="50">
        <f>if(G17="x",0,595)</f>
        <v>595</v>
      </c>
      <c r="E24" s="43">
        <f t="shared" si="1"/>
        <v>0</v>
      </c>
      <c r="F24" s="43">
        <f t="shared" si="2"/>
        <v>0</v>
      </c>
      <c r="G24" s="44"/>
      <c r="H24" s="147" t="str">
        <f>if(G17="x","Included with AEN (Dual Top Group)[F17]","")</f>
        <v/>
      </c>
    </row>
    <row r="25" ht="15.75" customHeight="1">
      <c r="A25" s="39" t="s">
        <v>54</v>
      </c>
      <c r="B25" s="148" t="s">
        <v>55</v>
      </c>
      <c r="C25" s="41">
        <v>536.0</v>
      </c>
      <c r="D25" s="41">
        <v>595.0</v>
      </c>
      <c r="E25" s="43">
        <f t="shared" si="1"/>
        <v>0</v>
      </c>
      <c r="F25" s="43">
        <f t="shared" si="2"/>
        <v>0</v>
      </c>
      <c r="G25" s="44"/>
      <c r="H25" s="52" t="str">
        <f>if(G37="x","N/A with Mopar Soft Tri-fold (CT6) [F23]","")</f>
        <v/>
      </c>
    </row>
    <row r="26">
      <c r="A26" s="39" t="s">
        <v>140</v>
      </c>
      <c r="B26" s="148" t="s">
        <v>141</v>
      </c>
      <c r="C26" s="41">
        <v>896.0</v>
      </c>
      <c r="D26" s="42">
        <v>995.0</v>
      </c>
      <c r="E26" s="43">
        <f t="shared" si="1"/>
        <v>0</v>
      </c>
      <c r="F26" s="43">
        <f t="shared" si="2"/>
        <v>0</v>
      </c>
      <c r="G26" s="44"/>
      <c r="H26" s="147"/>
    </row>
    <row r="27" ht="15.75" customHeight="1">
      <c r="A27" s="39" t="s">
        <v>142</v>
      </c>
      <c r="B27" s="148" t="s">
        <v>143</v>
      </c>
      <c r="C27" s="41">
        <v>626.0</v>
      </c>
      <c r="D27" s="41">
        <v>695.0</v>
      </c>
      <c r="E27" s="43">
        <f t="shared" si="1"/>
        <v>0</v>
      </c>
      <c r="F27" s="43">
        <f t="shared" si="2"/>
        <v>0</v>
      </c>
      <c r="G27" s="44"/>
      <c r="H27" s="149" t="str">
        <f>if(and(G27="x",G4=""),"Requires 8-Speed Automatic 850Re Transmission (DFT)","")</f>
        <v/>
      </c>
    </row>
    <row r="28" ht="15.75" customHeight="1">
      <c r="A28" s="39" t="s">
        <v>144</v>
      </c>
      <c r="B28" s="148" t="s">
        <v>145</v>
      </c>
      <c r="C28" s="41">
        <v>626.0</v>
      </c>
      <c r="D28" s="42">
        <v>695.0</v>
      </c>
      <c r="E28" s="43">
        <f t="shared" si="1"/>
        <v>0</v>
      </c>
      <c r="F28" s="43">
        <f t="shared" si="2"/>
        <v>0</v>
      </c>
      <c r="G28" s="44"/>
      <c r="H28" s="147"/>
    </row>
    <row r="29" ht="15.75" customHeight="1">
      <c r="A29" s="39" t="s">
        <v>56</v>
      </c>
      <c r="B29" s="148" t="s">
        <v>57</v>
      </c>
      <c r="C29" s="50">
        <f>if(G33="x",0,266)</f>
        <v>0</v>
      </c>
      <c r="D29" s="50">
        <f>if(G33="x",0,295)</f>
        <v>0</v>
      </c>
      <c r="E29" s="43">
        <f t="shared" si="1"/>
        <v>0</v>
      </c>
      <c r="F29" s="43">
        <f t="shared" si="2"/>
        <v>0</v>
      </c>
      <c r="G29" s="44"/>
      <c r="H29" s="149" t="str">
        <f>if(G33="x","Included with Technology Group (AAN)","")</f>
        <v>Included with Technology Group (AAN)</v>
      </c>
    </row>
    <row r="30">
      <c r="A30" s="39" t="s">
        <v>146</v>
      </c>
      <c r="B30" s="148" t="s">
        <v>59</v>
      </c>
      <c r="C30" s="42">
        <v>27.0</v>
      </c>
      <c r="D30" s="42">
        <v>30.0</v>
      </c>
      <c r="E30" s="43">
        <f t="shared" si="1"/>
        <v>0</v>
      </c>
      <c r="F30" s="43">
        <f t="shared" si="2"/>
        <v>0</v>
      </c>
      <c r="G30" s="44"/>
      <c r="H30" s="147"/>
    </row>
    <row r="31" ht="15.75" customHeight="1">
      <c r="A31" s="39" t="s">
        <v>60</v>
      </c>
      <c r="B31" s="148" t="s">
        <v>61</v>
      </c>
      <c r="C31" s="41">
        <v>68.0</v>
      </c>
      <c r="D31" s="42">
        <v>75.0</v>
      </c>
      <c r="E31" s="43">
        <f t="shared" si="1"/>
        <v>0</v>
      </c>
      <c r="F31" s="43">
        <f t="shared" si="2"/>
        <v>0</v>
      </c>
      <c r="G31" s="44"/>
      <c r="H31" s="149" t="str">
        <f>if(G31="x",if(or(G17="x",G24="x"),"","Requires STB (Premium Soft Top)[F18] or AEN (Dual Top Group)[F17]"),"")</f>
        <v/>
      </c>
    </row>
    <row r="32" ht="15.75" customHeight="1">
      <c r="A32" s="39" t="s">
        <v>62</v>
      </c>
      <c r="B32" s="148" t="s">
        <v>63</v>
      </c>
      <c r="C32" s="41">
        <v>446.0</v>
      </c>
      <c r="D32" s="42">
        <v>495.0</v>
      </c>
      <c r="E32" s="43">
        <f t="shared" si="1"/>
        <v>0</v>
      </c>
      <c r="F32" s="43">
        <f t="shared" si="2"/>
        <v>0</v>
      </c>
      <c r="G32" s="44"/>
      <c r="H32" s="147"/>
    </row>
    <row r="33">
      <c r="A33" s="145" t="s">
        <v>147</v>
      </c>
      <c r="B33" s="146" t="s">
        <v>148</v>
      </c>
      <c r="C33" s="177">
        <v>0.0</v>
      </c>
      <c r="D33" s="177">
        <v>0.0</v>
      </c>
      <c r="E33" s="43">
        <f t="shared" si="1"/>
        <v>0</v>
      </c>
      <c r="F33" s="43">
        <f t="shared" si="2"/>
        <v>0</v>
      </c>
      <c r="G33" s="178" t="s">
        <v>30</v>
      </c>
      <c r="H33" s="149" t="str">
        <f>if(and(G33="x",G16=""),"Requires Convenience Group (ADC)","")</f>
        <v/>
      </c>
    </row>
    <row r="34">
      <c r="A34" s="39" t="s">
        <v>64</v>
      </c>
      <c r="B34" s="148" t="s">
        <v>149</v>
      </c>
      <c r="C34" s="177">
        <v>0.0</v>
      </c>
      <c r="D34" s="177">
        <v>0.0</v>
      </c>
      <c r="E34" s="43">
        <f t="shared" si="1"/>
        <v>0</v>
      </c>
      <c r="F34" s="43">
        <f t="shared" si="2"/>
        <v>0</v>
      </c>
      <c r="G34" s="178" t="s">
        <v>30</v>
      </c>
      <c r="H34" s="149" t="str">
        <f>if(or(G22="x",G23="x"),"Included with Max TowPackage (AJQ) or Popular Equipment Package (AEH)","")</f>
        <v/>
      </c>
    </row>
    <row r="35" ht="15.75" customHeight="1">
      <c r="A35" s="39" t="s">
        <v>150</v>
      </c>
      <c r="B35" s="148" t="s">
        <v>151</v>
      </c>
      <c r="C35" s="41">
        <v>266.0</v>
      </c>
      <c r="D35" s="42">
        <v>295.0</v>
      </c>
      <c r="E35" s="43">
        <f t="shared" si="1"/>
        <v>0</v>
      </c>
      <c r="F35" s="43">
        <f t="shared" si="2"/>
        <v>0</v>
      </c>
      <c r="G35" s="44"/>
      <c r="H35" s="149" t="str">
        <f>if(G35="x",if(or(G7="x",G10="x"),"","Requires 8.4 Radio (AEK) or Alpine Premium Audio (RC4)"),"")</f>
        <v/>
      </c>
    </row>
    <row r="36" ht="15.75" customHeight="1">
      <c r="A36" s="39" t="s">
        <v>66</v>
      </c>
      <c r="B36" s="148" t="s">
        <v>67</v>
      </c>
      <c r="C36" s="53">
        <v>896.0</v>
      </c>
      <c r="D36" s="53">
        <v>995.0</v>
      </c>
      <c r="E36" s="43">
        <f t="shared" si="1"/>
        <v>0</v>
      </c>
      <c r="F36" s="43">
        <f t="shared" si="2"/>
        <v>0</v>
      </c>
      <c r="G36" s="44"/>
      <c r="H36" s="52" t="str">
        <f>if(or(G25="x",G37="x"),"N/A with Roll-Up Tonneau (CSD) [F21] or Mopar Soft Tri-fold (CT6) [F23]","")</f>
        <v/>
      </c>
    </row>
    <row r="37" ht="15.75" customHeight="1">
      <c r="A37" s="39" t="s">
        <v>68</v>
      </c>
      <c r="B37" s="148" t="s">
        <v>69</v>
      </c>
      <c r="C37" s="53">
        <v>563.0</v>
      </c>
      <c r="D37" s="53">
        <v>625.0</v>
      </c>
      <c r="E37" s="43">
        <f t="shared" si="1"/>
        <v>0</v>
      </c>
      <c r="F37" s="43">
        <f t="shared" si="2"/>
        <v>0</v>
      </c>
      <c r="G37" s="54"/>
      <c r="H37" s="48" t="str">
        <f>if(or(G25="x",G36="x"),"N/A with Roll-Up Tonneau (CSD) [F21] or Mopar Hard Tri-fold (CSU) [F22]","")</f>
        <v/>
      </c>
    </row>
    <row r="38">
      <c r="A38" s="39"/>
      <c r="B38" s="40" t="s">
        <v>70</v>
      </c>
      <c r="C38" s="41">
        <v>220.0</v>
      </c>
      <c r="D38" s="41">
        <v>245.0</v>
      </c>
      <c r="E38" s="43">
        <f t="shared" si="1"/>
        <v>0</v>
      </c>
      <c r="F38" s="55">
        <f t="shared" si="2"/>
        <v>0</v>
      </c>
      <c r="G38" s="150"/>
      <c r="H38" s="57" t="s">
        <v>71</v>
      </c>
    </row>
    <row r="39">
      <c r="A39" s="58"/>
      <c r="B39" s="151" t="str">
        <f>'Mopar Add-Ons'!B24</f>
        <v>Total Mopar Add-On Cost</v>
      </c>
      <c r="C39" s="60"/>
      <c r="D39" s="60"/>
      <c r="E39" s="61">
        <f>'Mopar Add-Ons'!E24</f>
        <v>0</v>
      </c>
      <c r="F39" s="61">
        <f>'Mopar Add-Ons'!F24</f>
        <v>0</v>
      </c>
      <c r="G39" s="152"/>
      <c r="H39" s="64" t="str">
        <f>'Mopar Add-Ons'!H24</f>
        <v>Price pulled from sheet "Mopar Add-Ons"</v>
      </c>
    </row>
    <row r="40">
      <c r="A40" s="65"/>
      <c r="B40" s="153" t="s">
        <v>72</v>
      </c>
      <c r="C40" s="153"/>
      <c r="D40" s="153"/>
      <c r="E40" s="69">
        <f t="shared" ref="E40:F40" si="3">SUM(E3:E39)</f>
        <v>37384</v>
      </c>
      <c r="F40" s="69">
        <f t="shared" si="3"/>
        <v>38460</v>
      </c>
      <c r="G40" s="154"/>
      <c r="H40" s="154"/>
    </row>
    <row r="41" ht="15.75" customHeight="1">
      <c r="A41" s="155"/>
      <c r="B41" s="73" t="s">
        <v>73</v>
      </c>
      <c r="C41" s="74"/>
      <c r="D41" s="74"/>
      <c r="E41" s="75"/>
      <c r="F41" s="76">
        <f>F40+D57</f>
        <v>38460</v>
      </c>
      <c r="G41" s="72"/>
      <c r="H41" s="83"/>
    </row>
    <row r="42" ht="15.75" customHeight="1">
      <c r="A42" s="72"/>
      <c r="B42" s="72"/>
      <c r="C42" s="72"/>
      <c r="D42" s="72"/>
      <c r="E42" s="72"/>
      <c r="F42" s="72"/>
      <c r="G42" s="72"/>
      <c r="H42" s="83"/>
    </row>
    <row r="43" ht="15.0" customHeight="1">
      <c r="A43" s="78"/>
      <c r="B43" s="79" t="s">
        <v>23</v>
      </c>
      <c r="C43" s="80"/>
      <c r="D43" s="80">
        <f>F40</f>
        <v>38460</v>
      </c>
      <c r="E43" s="44"/>
      <c r="F43" s="81" t="s">
        <v>182</v>
      </c>
      <c r="G43" s="82"/>
      <c r="H43" s="179" t="s">
        <v>183</v>
      </c>
    </row>
    <row r="44" ht="15.0" customHeight="1">
      <c r="A44" s="78"/>
      <c r="B44" s="79" t="s">
        <v>22</v>
      </c>
      <c r="C44" s="80"/>
      <c r="D44" s="80">
        <f>E40</f>
        <v>37384</v>
      </c>
      <c r="E44" s="44"/>
      <c r="G44" s="84"/>
      <c r="H44" s="180" t="s">
        <v>101</v>
      </c>
    </row>
    <row r="45" ht="15.75" customHeight="1">
      <c r="A45" s="78"/>
      <c r="B45" s="79" t="s">
        <v>75</v>
      </c>
      <c r="C45" s="85">
        <v>0.03</v>
      </c>
      <c r="D45" s="80">
        <f>E40*(1-C45)</f>
        <v>36262.48</v>
      </c>
      <c r="E45" s="44"/>
      <c r="G45" s="84"/>
      <c r="H45" s="180" t="s">
        <v>184</v>
      </c>
    </row>
    <row r="46" ht="15.75" customHeight="1">
      <c r="A46" s="78"/>
      <c r="B46" s="87" t="s">
        <v>18</v>
      </c>
      <c r="C46" s="88"/>
      <c r="D46" s="89"/>
      <c r="E46" s="89"/>
      <c r="F46" s="90"/>
      <c r="G46" s="91"/>
      <c r="H46" s="180" t="s">
        <v>105</v>
      </c>
    </row>
    <row r="47" ht="15.75" customHeight="1">
      <c r="A47" s="78"/>
      <c r="B47" s="92" t="s">
        <v>76</v>
      </c>
      <c r="C47" s="93"/>
      <c r="D47" s="93">
        <v>1495.0</v>
      </c>
      <c r="E47" s="94">
        <f>(((SUM(((IF(E43="x",D43,0))+IF(E44="x",D44,0))+IF(E45="x",D45,0))+(IF(E46="x",D46,0))))+D47)</f>
        <v>1495</v>
      </c>
      <c r="F47" s="95"/>
      <c r="G47" s="96"/>
      <c r="H47" s="180" t="s">
        <v>158</v>
      </c>
    </row>
    <row r="48" ht="15.75" customHeight="1">
      <c r="A48" s="78"/>
      <c r="B48" s="97" t="s">
        <v>77</v>
      </c>
      <c r="C48" s="98"/>
      <c r="D48" s="98"/>
      <c r="E48" s="99"/>
      <c r="F48" s="100" t="s">
        <v>78</v>
      </c>
      <c r="G48" s="181"/>
      <c r="H48" s="182" t="s">
        <v>185</v>
      </c>
    </row>
    <row r="49" ht="15.75" customHeight="1">
      <c r="A49" s="78"/>
      <c r="B49" s="97" t="s">
        <v>79</v>
      </c>
      <c r="C49" s="98"/>
      <c r="D49" s="98"/>
      <c r="E49" s="99"/>
      <c r="F49" s="100" t="s">
        <v>80</v>
      </c>
      <c r="G49" s="181"/>
      <c r="H49" s="182" t="s">
        <v>186</v>
      </c>
    </row>
    <row r="50" ht="15.75" customHeight="1">
      <c r="A50" s="78"/>
      <c r="B50" s="97" t="s">
        <v>81</v>
      </c>
      <c r="C50" s="102"/>
      <c r="D50" s="102"/>
      <c r="E50" s="103"/>
      <c r="F50" s="100" t="s">
        <v>82</v>
      </c>
      <c r="G50" s="101"/>
      <c r="H50" s="83"/>
    </row>
    <row r="51" ht="15.75" customHeight="1">
      <c r="A51" s="78"/>
      <c r="B51" s="97" t="s">
        <v>83</v>
      </c>
      <c r="C51" s="102"/>
      <c r="D51" s="102"/>
      <c r="E51" s="103"/>
      <c r="F51" s="100" t="s">
        <v>84</v>
      </c>
      <c r="G51" s="101"/>
      <c r="H51" s="83"/>
    </row>
    <row r="52" ht="15.75" customHeight="1">
      <c r="A52" s="86"/>
      <c r="B52" s="104" t="s">
        <v>85</v>
      </c>
      <c r="C52" s="105"/>
      <c r="D52" s="106">
        <v>0.085</v>
      </c>
      <c r="E52" s="107">
        <f>(E47-E48+E50+E51)*D52</f>
        <v>127.075</v>
      </c>
      <c r="F52" s="100" t="s">
        <v>86</v>
      </c>
      <c r="G52" s="101"/>
      <c r="H52" s="83"/>
    </row>
    <row r="53" ht="15.75" customHeight="1">
      <c r="A53" s="86"/>
      <c r="B53" s="110" t="s">
        <v>87</v>
      </c>
      <c r="C53" s="111"/>
      <c r="D53" s="111"/>
      <c r="E53" s="111">
        <f>sum(E47-E48-E49+E50+E51+E52)</f>
        <v>1622.075</v>
      </c>
      <c r="F53" s="96"/>
      <c r="G53" s="112"/>
      <c r="H53" s="83"/>
    </row>
    <row r="54" ht="15.75" customHeight="1">
      <c r="A54" s="86"/>
      <c r="B54" s="115"/>
      <c r="C54" s="113"/>
      <c r="D54" s="113"/>
      <c r="E54" s="113"/>
      <c r="F54" s="116"/>
      <c r="G54" s="116"/>
      <c r="H54" s="83"/>
    </row>
    <row r="55" ht="15.75" customHeight="1">
      <c r="A55" s="86"/>
      <c r="B55" s="117"/>
      <c r="C55" s="118" t="s">
        <v>88</v>
      </c>
      <c r="D55" s="118"/>
      <c r="E55" s="113"/>
      <c r="F55" s="116"/>
      <c r="G55" s="116"/>
      <c r="H55" s="83"/>
    </row>
    <row r="56" ht="15.75" customHeight="1">
      <c r="A56" s="86"/>
      <c r="B56" s="83"/>
      <c r="C56" s="120" t="s">
        <v>89</v>
      </c>
      <c r="D56" s="121"/>
      <c r="E56" s="55">
        <f>E53</f>
        <v>1622.075</v>
      </c>
      <c r="F56" s="122" t="s">
        <v>90</v>
      </c>
      <c r="G56" s="101"/>
      <c r="H56" s="83"/>
    </row>
    <row r="57" ht="15.75" customHeight="1">
      <c r="A57" s="86"/>
      <c r="B57" s="83"/>
      <c r="C57" s="120" t="s">
        <v>91</v>
      </c>
      <c r="D57" s="121"/>
      <c r="E57" s="123">
        <v>0.049</v>
      </c>
      <c r="F57" s="124" t="s">
        <v>92</v>
      </c>
      <c r="G57" s="125"/>
      <c r="H57" s="83"/>
    </row>
    <row r="58" ht="15.75" customHeight="1">
      <c r="A58" s="86"/>
      <c r="B58" s="83"/>
      <c r="C58" s="126" t="s">
        <v>93</v>
      </c>
      <c r="D58" s="127"/>
      <c r="E58" s="128">
        <v>72.0</v>
      </c>
      <c r="F58" s="129" t="s">
        <v>94</v>
      </c>
      <c r="G58" s="130"/>
      <c r="H58" s="83"/>
    </row>
    <row r="59" ht="15.75" customHeight="1">
      <c r="A59" s="109"/>
      <c r="B59" s="115"/>
      <c r="C59" s="112" t="s">
        <v>95</v>
      </c>
      <c r="D59" s="112"/>
      <c r="E59" s="131">
        <f>PMT(E57/12,E58,-E56)</f>
        <v>26.0482338</v>
      </c>
      <c r="F59" s="77"/>
      <c r="G59" s="131"/>
      <c r="H59" s="115"/>
    </row>
    <row r="60" ht="15.75" customHeight="1">
      <c r="A60" s="114"/>
      <c r="B60" s="115"/>
      <c r="C60" s="115"/>
      <c r="D60" s="115"/>
      <c r="E60" s="115"/>
      <c r="F60" s="115"/>
      <c r="G60" s="115"/>
      <c r="H60" s="132"/>
    </row>
    <row r="61" ht="15.75" customHeight="1">
      <c r="A61" s="114"/>
      <c r="B61" s="115"/>
      <c r="C61" s="115"/>
      <c r="D61" s="115"/>
      <c r="E61" s="115"/>
      <c r="F61" s="115"/>
      <c r="G61" s="115"/>
      <c r="H61" s="132" t="s">
        <v>187</v>
      </c>
    </row>
    <row r="62" ht="15.75" customHeight="1">
      <c r="A62" s="114"/>
      <c r="B62" s="115"/>
      <c r="C62" s="115"/>
      <c r="D62" s="115"/>
      <c r="E62" s="115"/>
      <c r="F62" s="115"/>
      <c r="G62" s="115"/>
      <c r="H62" s="115"/>
    </row>
  </sheetData>
  <mergeCells count="1">
    <mergeCell ref="F43:G46"/>
  </mergeCells>
  <conditionalFormatting sqref="C36:D37">
    <cfRule type="cellIs" dxfId="0" priority="1" operator="equal">
      <formula>0</formula>
    </cfRule>
  </conditionalFormatting>
  <conditionalFormatting sqref="B6 B38">
    <cfRule type="containsText" dxfId="9" priority="2" operator="containsText" text="Mopar">
      <formula>NOT(ISERROR(SEARCH(("Mopar"),(B6))))</formula>
    </cfRule>
  </conditionalFormatting>
  <conditionalFormatting sqref="E4:F40">
    <cfRule type="cellIs" dxfId="1" priority="3" operator="equal">
      <formula>0</formula>
    </cfRule>
  </conditionalFormatting>
  <conditionalFormatting sqref="A13">
    <cfRule type="expression" dxfId="2" priority="4">
      <formula>G23="x"</formula>
    </cfRule>
  </conditionalFormatting>
  <conditionalFormatting sqref="A16">
    <cfRule type="expression" dxfId="2" priority="5">
      <formula>G23="x"</formula>
    </cfRule>
  </conditionalFormatting>
  <conditionalFormatting sqref="A34">
    <cfRule type="expression" dxfId="2" priority="6">
      <formula>G23="x"</formula>
    </cfRule>
  </conditionalFormatting>
  <conditionalFormatting sqref="A33">
    <cfRule type="expression" dxfId="2" priority="7">
      <formula>G23="x"</formula>
    </cfRule>
  </conditionalFormatting>
  <conditionalFormatting sqref="C13">
    <cfRule type="expression" dxfId="0" priority="8">
      <formula>G17="x"</formula>
    </cfRule>
  </conditionalFormatting>
  <conditionalFormatting sqref="D13">
    <cfRule type="expression" dxfId="0" priority="9">
      <formula>G17="x"</formula>
    </cfRule>
  </conditionalFormatting>
  <conditionalFormatting sqref="C24">
    <cfRule type="expression" dxfId="0" priority="10">
      <formula>G17="x"</formula>
    </cfRule>
  </conditionalFormatting>
  <conditionalFormatting sqref="D24">
    <cfRule type="expression" dxfId="0" priority="11">
      <formula>G17="x"</formula>
    </cfRule>
  </conditionalFormatting>
  <conditionalFormatting sqref="C11">
    <cfRule type="expression" dxfId="0" priority="12">
      <formula>G22="x"</formula>
    </cfRule>
  </conditionalFormatting>
  <conditionalFormatting sqref="D11">
    <cfRule type="expression" dxfId="0" priority="13">
      <formula>G22="x"</formula>
    </cfRule>
  </conditionalFormatting>
  <conditionalFormatting sqref="C34">
    <cfRule type="expression" dxfId="0" priority="14">
      <formula>G22="x"</formula>
    </cfRule>
  </conditionalFormatting>
  <conditionalFormatting sqref="D34">
    <cfRule type="expression" dxfId="0" priority="15">
      <formula>G22="x"</formula>
    </cfRule>
  </conditionalFormatting>
  <conditionalFormatting sqref="G13 G16 G33:G34">
    <cfRule type="expression" dxfId="2" priority="16">
      <formula>and(G1="x",G13="")</formula>
    </cfRule>
  </conditionalFormatting>
  <conditionalFormatting sqref="G11">
    <cfRule type="expression" dxfId="2" priority="17">
      <formula>and(G22="x",G11="")</formula>
    </cfRule>
  </conditionalFormatting>
  <conditionalFormatting sqref="G6">
    <cfRule type="expression" dxfId="10" priority="18">
      <formula>and(G5="x",G6="")</formula>
    </cfRule>
  </conditionalFormatting>
  <conditionalFormatting sqref="G5">
    <cfRule type="expression" dxfId="4" priority="19">
      <formula>and(G5="",G6="x")</formula>
    </cfRule>
  </conditionalFormatting>
  <conditionalFormatting sqref="G33">
    <cfRule type="expression" dxfId="10" priority="20">
      <formula>and(G7="x",G33="")</formula>
    </cfRule>
  </conditionalFormatting>
  <conditionalFormatting sqref="G16">
    <cfRule type="expression" dxfId="10" priority="21">
      <formula>and(G16="",G33="x")</formula>
    </cfRule>
  </conditionalFormatting>
  <conditionalFormatting sqref="G26">
    <cfRule type="expression" dxfId="10" priority="22">
      <formula>and(G26="",G8="x")</formula>
    </cfRule>
  </conditionalFormatting>
  <conditionalFormatting sqref="G13">
    <cfRule type="expression" dxfId="2" priority="23">
      <formula>and(G13="",G17="x")</formula>
    </cfRule>
  </conditionalFormatting>
  <conditionalFormatting sqref="G24">
    <cfRule type="expression" dxfId="2" priority="24">
      <formula>and(G24="",G17="x")</formula>
    </cfRule>
  </conditionalFormatting>
  <conditionalFormatting sqref="G13">
    <cfRule type="expression" dxfId="2" priority="25">
      <formula>and(G13="",G23="x")</formula>
    </cfRule>
  </conditionalFormatting>
  <conditionalFormatting sqref="G16">
    <cfRule type="expression" dxfId="2" priority="26">
      <formula>and(G16="",G23="x")</formula>
    </cfRule>
  </conditionalFormatting>
  <conditionalFormatting sqref="G13 G16 G33:G34">
    <cfRule type="expression" dxfId="2" priority="27">
      <formula>and(G13="",G2="x")</formula>
    </cfRule>
  </conditionalFormatting>
  <conditionalFormatting sqref="G33">
    <cfRule type="expression" dxfId="2" priority="28">
      <formula>and(G33="",G23="x")</formula>
    </cfRule>
  </conditionalFormatting>
  <conditionalFormatting sqref="C13">
    <cfRule type="expression" dxfId="0" priority="29">
      <formula>G23="x"</formula>
    </cfRule>
  </conditionalFormatting>
  <conditionalFormatting sqref="D13">
    <cfRule type="expression" dxfId="0" priority="30">
      <formula>G23="x"</formula>
    </cfRule>
  </conditionalFormatting>
  <conditionalFormatting sqref="C16">
    <cfRule type="expression" dxfId="0" priority="31">
      <formula>G23="x"</formula>
    </cfRule>
  </conditionalFormatting>
  <conditionalFormatting sqref="D16">
    <cfRule type="expression" dxfId="0" priority="32">
      <formula>G23="x"</formula>
    </cfRule>
  </conditionalFormatting>
  <conditionalFormatting sqref="C33">
    <cfRule type="expression" dxfId="0" priority="33">
      <formula>G23="x"</formula>
    </cfRule>
  </conditionalFormatting>
  <conditionalFormatting sqref="D33">
    <cfRule type="expression" dxfId="0" priority="34">
      <formula>G23="x"</formula>
    </cfRule>
  </conditionalFormatting>
  <conditionalFormatting sqref="C34">
    <cfRule type="expression" dxfId="0" priority="35">
      <formula>G23="x"</formula>
    </cfRule>
  </conditionalFormatting>
  <conditionalFormatting sqref="D34">
    <cfRule type="expression" dxfId="0" priority="36">
      <formula>G23="x"</formula>
    </cfRule>
  </conditionalFormatting>
  <conditionalFormatting sqref="G4">
    <cfRule type="expression" dxfId="10" priority="37">
      <formula>and(G27="x",G4="")</formula>
    </cfRule>
  </conditionalFormatting>
  <conditionalFormatting sqref="G4">
    <cfRule type="expression" dxfId="5" priority="38">
      <formula>and(G5="x",G4="x")</formula>
    </cfRule>
  </conditionalFormatting>
  <conditionalFormatting sqref="C29">
    <cfRule type="expression" dxfId="0" priority="39">
      <formula>G33="x"</formula>
    </cfRule>
  </conditionalFormatting>
  <conditionalFormatting sqref="D29">
    <cfRule type="expression" dxfId="0" priority="40">
      <formula>G33="x"</formula>
    </cfRule>
  </conditionalFormatting>
  <conditionalFormatting sqref="G17">
    <cfRule type="expression" dxfId="10" priority="41">
      <formula>and(G20="x",and(G17="",G13=""))</formula>
    </cfRule>
  </conditionalFormatting>
  <conditionalFormatting sqref="G13">
    <cfRule type="expression" dxfId="10" priority="42">
      <formula>and(G20="x",G13="")</formula>
    </cfRule>
  </conditionalFormatting>
  <conditionalFormatting sqref="C10">
    <cfRule type="expression" dxfId="0" priority="43">
      <formula>G7="x"</formula>
    </cfRule>
  </conditionalFormatting>
  <conditionalFormatting sqref="D10">
    <cfRule type="expression" dxfId="0" priority="44">
      <formula>G7="x"</formula>
    </cfRule>
  </conditionalFormatting>
  <conditionalFormatting sqref="G29">
    <cfRule type="expression" dxfId="2" priority="45">
      <formula>and(G29="",G33="x")</formula>
    </cfRule>
  </conditionalFormatting>
  <conditionalFormatting sqref="A5">
    <cfRule type="expression" dxfId="11" priority="46">
      <formula>G4="x"</formula>
    </cfRule>
  </conditionalFormatting>
  <conditionalFormatting sqref="B5">
    <cfRule type="expression" dxfId="11" priority="47">
      <formula>G4="x"</formula>
    </cfRule>
  </conditionalFormatting>
  <conditionalFormatting sqref="C5">
    <cfRule type="expression" dxfId="11" priority="48">
      <formula>G4="x"</formula>
    </cfRule>
  </conditionalFormatting>
  <conditionalFormatting sqref="D5">
    <cfRule type="expression" dxfId="11" priority="49">
      <formula>G4="x"</formula>
    </cfRule>
  </conditionalFormatting>
  <conditionalFormatting sqref="A6">
    <cfRule type="expression" dxfId="11" priority="50">
      <formula>G4="x"</formula>
    </cfRule>
  </conditionalFormatting>
  <conditionalFormatting sqref="B6">
    <cfRule type="expression" dxfId="11" priority="51">
      <formula>G4="x"</formula>
    </cfRule>
  </conditionalFormatting>
  <conditionalFormatting sqref="C6">
    <cfRule type="expression" dxfId="11" priority="52">
      <formula>G4="x"</formula>
    </cfRule>
  </conditionalFormatting>
  <conditionalFormatting sqref="D6">
    <cfRule type="expression" dxfId="11" priority="53">
      <formula>G4="x"</formula>
    </cfRule>
  </conditionalFormatting>
  <conditionalFormatting sqref="C11">
    <cfRule type="expression" dxfId="0" priority="54">
      <formula>G6="x"</formula>
    </cfRule>
  </conditionalFormatting>
  <conditionalFormatting sqref="D11">
    <cfRule type="expression" dxfId="0" priority="55">
      <formula>G6="x"</formula>
    </cfRule>
  </conditionalFormatting>
  <conditionalFormatting sqref="A22">
    <cfRule type="expression" dxfId="7" priority="56">
      <formula>G5="x"</formula>
    </cfRule>
  </conditionalFormatting>
  <conditionalFormatting sqref="B22">
    <cfRule type="expression" dxfId="7" priority="57">
      <formula>G5="x"</formula>
    </cfRule>
  </conditionalFormatting>
  <conditionalFormatting sqref="C22">
    <cfRule type="expression" dxfId="7" priority="58">
      <formula>G5="x"</formula>
    </cfRule>
  </conditionalFormatting>
  <conditionalFormatting sqref="D22">
    <cfRule type="expression" dxfId="12" priority="59">
      <formula>G5="x"</formula>
    </cfRule>
  </conditionalFormatting>
  <conditionalFormatting sqref="G22">
    <cfRule type="expression" dxfId="13" priority="60">
      <formula>G5="x"</formula>
    </cfRule>
  </conditionalFormatting>
  <conditionalFormatting sqref="H4:H39">
    <cfRule type="containsText" dxfId="0" priority="61" operator="containsText" text="Include">
      <formula>NOT(ISERROR(SEARCH(("Include"),(H4))))</formula>
    </cfRule>
  </conditionalFormatting>
  <conditionalFormatting sqref="H4:H39">
    <cfRule type="containsText" dxfId="6" priority="62" operator="containsText" text="Reduce">
      <formula>NOT(ISERROR(SEARCH(("Reduce"),(H4))))</formula>
    </cfRule>
  </conditionalFormatting>
  <conditionalFormatting sqref="H4:H39">
    <cfRule type="containsText" dxfId="5" priority="63" operator="containsText" text="N/A">
      <formula>NOT(ISERROR(SEARCH(("N/A"),(H4))))</formula>
    </cfRule>
  </conditionalFormatting>
  <conditionalFormatting sqref="H4:H39">
    <cfRule type="containsText" dxfId="5" priority="64" operator="containsText" text="Require">
      <formula>NOT(ISERROR(SEARCH(("Require"),(H4))))</formula>
    </cfRule>
  </conditionalFormatting>
  <conditionalFormatting sqref="H4:H39">
    <cfRule type="containsText" dxfId="5" priority="65" operator="containsText" text="Only">
      <formula>NOT(ISERROR(SEARCH(("Only"),(H4))))</formula>
    </cfRule>
  </conditionalFormatting>
  <conditionalFormatting sqref="B4:B39">
    <cfRule type="expression" dxfId="8" priority="66">
      <formula>G4:G39="x"</formula>
    </cfRule>
  </conditionalFormatting>
  <conditionalFormatting sqref="E4:E39">
    <cfRule type="expression" dxfId="14" priority="67">
      <formula>G4:G39="x"</formula>
    </cfRule>
  </conditionalFormatting>
  <conditionalFormatting sqref="F4:F39">
    <cfRule type="expression" dxfId="14" priority="68">
      <formula>G4:G39="x"</formula>
    </cfRule>
  </conditionalFormatting>
  <dataValidations>
    <dataValidation type="list" allowBlank="1" sqref="C45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44.57"/>
    <col customWidth="1" min="3" max="4" width="11.29"/>
    <col customWidth="1" min="5" max="6" width="16.86"/>
    <col customWidth="1" min="7" max="7" width="12.43"/>
    <col customWidth="1" min="8" max="8" width="57.29"/>
  </cols>
  <sheetData>
    <row r="1" ht="15.75" customHeight="1">
      <c r="A1" s="27"/>
      <c r="B1" s="27" t="s">
        <v>19</v>
      </c>
      <c r="C1" s="27"/>
      <c r="D1" s="27"/>
      <c r="E1" s="27"/>
      <c r="F1" s="27"/>
      <c r="G1" s="27"/>
      <c r="H1" s="28" t="s">
        <v>13</v>
      </c>
    </row>
    <row r="2" ht="15.75" customHeight="1">
      <c r="A2" s="138" t="s">
        <v>109</v>
      </c>
      <c r="B2" s="139" t="s">
        <v>21</v>
      </c>
      <c r="C2" s="140" t="s">
        <v>22</v>
      </c>
      <c r="D2" s="140" t="s">
        <v>23</v>
      </c>
      <c r="E2" s="141" t="s">
        <v>24</v>
      </c>
      <c r="F2" s="141" t="s">
        <v>25</v>
      </c>
      <c r="G2" s="141" t="s">
        <v>26</v>
      </c>
      <c r="H2" s="133" t="s">
        <v>110</v>
      </c>
    </row>
    <row r="3">
      <c r="A3" s="33" t="s">
        <v>111</v>
      </c>
      <c r="B3" s="142" t="s">
        <v>112</v>
      </c>
      <c r="C3" s="35">
        <v>38554.0</v>
      </c>
      <c r="D3" s="35">
        <v>39760.0</v>
      </c>
      <c r="E3" s="36">
        <f t="shared" ref="E3:E38" si="1">IF(G3="x",C3,0)</f>
        <v>38554</v>
      </c>
      <c r="F3" s="36">
        <f t="shared" ref="F3:F38" si="2">IF(G3="x",D3,0)</f>
        <v>39760</v>
      </c>
      <c r="G3" s="143" t="s">
        <v>30</v>
      </c>
      <c r="H3" s="144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47" t="str">
        <f>if(and(G5="x",G6=""),"Requires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145" t="s">
        <v>114</v>
      </c>
      <c r="B7" s="146" t="s">
        <v>115</v>
      </c>
      <c r="C7" s="41">
        <v>1796.0</v>
      </c>
      <c r="D7" s="41">
        <v>1995.0</v>
      </c>
      <c r="E7" s="43">
        <f t="shared" si="1"/>
        <v>0</v>
      </c>
      <c r="F7" s="43">
        <f t="shared" si="2"/>
        <v>0</v>
      </c>
      <c r="G7" s="44"/>
      <c r="H7" s="149" t="str">
        <f>if(and(G7="x",G33=""),"Requires Technology Group (AAN)","")</f>
        <v/>
      </c>
    </row>
    <row r="8">
      <c r="A8" s="39" t="s">
        <v>116</v>
      </c>
      <c r="B8" s="148" t="s">
        <v>117</v>
      </c>
      <c r="C8" s="41">
        <v>716.0</v>
      </c>
      <c r="D8" s="42">
        <v>795.0</v>
      </c>
      <c r="E8" s="43">
        <f t="shared" si="1"/>
        <v>0</v>
      </c>
      <c r="F8" s="43">
        <f t="shared" si="2"/>
        <v>0</v>
      </c>
      <c r="G8" s="44"/>
      <c r="H8" s="149" t="str">
        <f>if(and(G8="x",G26=""),"Requires Safety Group (AJ1)","")</f>
        <v/>
      </c>
    </row>
    <row r="9" ht="15.75" customHeight="1">
      <c r="A9" s="145" t="s">
        <v>38</v>
      </c>
      <c r="B9" s="146" t="s">
        <v>118</v>
      </c>
      <c r="C9" s="41">
        <v>149.0</v>
      </c>
      <c r="D9" s="41">
        <v>165.0</v>
      </c>
      <c r="E9" s="43">
        <f t="shared" si="1"/>
        <v>0</v>
      </c>
      <c r="F9" s="43">
        <f t="shared" si="2"/>
        <v>0</v>
      </c>
      <c r="G9" s="44"/>
      <c r="H9" s="77"/>
    </row>
    <row r="10" ht="15.75" customHeight="1">
      <c r="A10" s="39" t="s">
        <v>119</v>
      </c>
      <c r="B10" s="148" t="s">
        <v>120</v>
      </c>
      <c r="C10" s="49">
        <f>if(G7="x",0,1166)</f>
        <v>1166</v>
      </c>
      <c r="D10" s="50">
        <f>if(G7="x",0,1295)</f>
        <v>1295</v>
      </c>
      <c r="E10" s="43">
        <f t="shared" si="1"/>
        <v>0</v>
      </c>
      <c r="F10" s="43">
        <f t="shared" si="2"/>
        <v>0</v>
      </c>
      <c r="G10" s="44"/>
      <c r="H10" s="149" t="str">
        <f>if(G7="x","Included with Premium Audio Group","")</f>
        <v/>
      </c>
    </row>
    <row r="11">
      <c r="A11" s="145" t="s">
        <v>40</v>
      </c>
      <c r="B11" s="146" t="s">
        <v>121</v>
      </c>
      <c r="C11" s="49">
        <f>if(or(G6="x",G22="x"),0,536)</f>
        <v>536</v>
      </c>
      <c r="D11" s="50">
        <f>if(or(G6="x",G22="x"),0,595)</f>
        <v>595</v>
      </c>
      <c r="E11" s="43">
        <f t="shared" si="1"/>
        <v>0</v>
      </c>
      <c r="F11" s="43">
        <f t="shared" si="2"/>
        <v>0</v>
      </c>
      <c r="G11" s="44"/>
      <c r="H11" s="51" t="str">
        <f>if(or(G22="x",G5="x"),"Included with Max Tow (AJQ) [G21] or V6 Turbo Diesel (EXJ) [G6]","")</f>
        <v/>
      </c>
    </row>
    <row r="12">
      <c r="A12" s="39" t="s">
        <v>42</v>
      </c>
      <c r="B12" s="148" t="s">
        <v>122</v>
      </c>
      <c r="C12" s="41">
        <v>266.0</v>
      </c>
      <c r="D12" s="42">
        <v>295.0</v>
      </c>
      <c r="E12" s="43">
        <f t="shared" si="1"/>
        <v>0</v>
      </c>
      <c r="F12" s="43">
        <f t="shared" si="2"/>
        <v>0</v>
      </c>
      <c r="G12" s="44"/>
      <c r="H12" s="147"/>
    </row>
    <row r="13" ht="15.75" customHeight="1">
      <c r="A13" s="39" t="s">
        <v>44</v>
      </c>
      <c r="B13" s="148" t="s">
        <v>123</v>
      </c>
      <c r="C13" s="177">
        <v>0.0</v>
      </c>
      <c r="D13" s="177">
        <v>0.0</v>
      </c>
      <c r="E13" s="43">
        <f t="shared" si="1"/>
        <v>0</v>
      </c>
      <c r="F13" s="43">
        <f t="shared" si="2"/>
        <v>0</v>
      </c>
      <c r="G13" s="183" t="s">
        <v>30</v>
      </c>
      <c r="H13" s="147" t="str">
        <f>if(or(G17="x",G23="x"),"Included with Dual Top Group (AEN) or Popular Equipment Package (AEH)","")</f>
        <v/>
      </c>
    </row>
    <row r="14">
      <c r="A14" s="39" t="s">
        <v>124</v>
      </c>
      <c r="B14" s="148" t="s">
        <v>125</v>
      </c>
      <c r="C14" s="41">
        <v>806.0</v>
      </c>
      <c r="D14" s="42">
        <v>895.0</v>
      </c>
      <c r="E14" s="43">
        <f t="shared" si="1"/>
        <v>0</v>
      </c>
      <c r="F14" s="43">
        <f t="shared" si="2"/>
        <v>0</v>
      </c>
      <c r="G14" s="44"/>
      <c r="H14" s="147"/>
    </row>
    <row r="15">
      <c r="A15" s="39" t="s">
        <v>126</v>
      </c>
      <c r="B15" s="148" t="s">
        <v>127</v>
      </c>
      <c r="C15" s="42">
        <v>626.0</v>
      </c>
      <c r="D15" s="41">
        <v>695.0</v>
      </c>
      <c r="E15" s="43">
        <f t="shared" si="1"/>
        <v>0</v>
      </c>
      <c r="F15" s="43">
        <f t="shared" si="2"/>
        <v>0</v>
      </c>
      <c r="G15" s="44"/>
      <c r="H15" s="51"/>
    </row>
    <row r="16">
      <c r="A16" s="39" t="s">
        <v>128</v>
      </c>
      <c r="B16" s="148" t="s">
        <v>129</v>
      </c>
      <c r="C16" s="177">
        <v>0.0</v>
      </c>
      <c r="D16" s="177">
        <v>0.0</v>
      </c>
      <c r="E16" s="43">
        <f t="shared" si="1"/>
        <v>0</v>
      </c>
      <c r="F16" s="43">
        <f t="shared" si="2"/>
        <v>0</v>
      </c>
      <c r="G16" s="183" t="s">
        <v>30</v>
      </c>
      <c r="H16" s="51" t="str">
        <f>if(G23="x","Included with Popular Equipment Package (AEH)","")</f>
        <v/>
      </c>
    </row>
    <row r="17">
      <c r="A17" s="39" t="s">
        <v>130</v>
      </c>
      <c r="B17" s="148" t="s">
        <v>131</v>
      </c>
      <c r="C17" s="46">
        <v>990.0</v>
      </c>
      <c r="D17" s="46">
        <v>1100.0</v>
      </c>
      <c r="E17" s="43">
        <f t="shared" si="1"/>
        <v>0</v>
      </c>
      <c r="F17" s="43">
        <f t="shared" si="2"/>
        <v>0</v>
      </c>
      <c r="G17" s="44"/>
      <c r="H17" s="149" t="str">
        <f>if(AND(G17="x",G25="",G36="",G37=""),"Requires Tonneau Option;Roll-Up (CSD), Hard Tri-fold (CSU) or Soft Tri-fold (CT6)","")</f>
        <v/>
      </c>
    </row>
    <row r="18">
      <c r="A18" s="145" t="s">
        <v>48</v>
      </c>
      <c r="B18" s="146" t="s">
        <v>49</v>
      </c>
      <c r="C18" s="41">
        <v>86.0</v>
      </c>
      <c r="D18" s="42">
        <v>95.0</v>
      </c>
      <c r="E18" s="43">
        <f t="shared" si="1"/>
        <v>0</v>
      </c>
      <c r="F18" s="43">
        <f t="shared" si="2"/>
        <v>0</v>
      </c>
      <c r="G18" s="44"/>
      <c r="H18" s="147"/>
    </row>
    <row r="19" ht="15.75" customHeight="1">
      <c r="A19" s="39" t="s">
        <v>132</v>
      </c>
      <c r="B19" s="148" t="s">
        <v>133</v>
      </c>
      <c r="C19" s="41">
        <v>913.0</v>
      </c>
      <c r="D19" s="41">
        <v>1015.0</v>
      </c>
      <c r="E19" s="43">
        <f t="shared" si="1"/>
        <v>0</v>
      </c>
      <c r="F19" s="43">
        <f t="shared" si="2"/>
        <v>0</v>
      </c>
      <c r="G19" s="44"/>
      <c r="H19" s="149" t="str">
        <f>(if(and(G19="x",G26=""),"Requires Safety Group (AJ1)",""))</f>
        <v/>
      </c>
    </row>
    <row r="20" ht="15.75" customHeight="1">
      <c r="A20" s="39" t="s">
        <v>134</v>
      </c>
      <c r="B20" s="148" t="s">
        <v>135</v>
      </c>
      <c r="C20" s="41">
        <v>500.0</v>
      </c>
      <c r="D20" s="41">
        <v>595.0</v>
      </c>
      <c r="E20" s="43">
        <f t="shared" si="1"/>
        <v>0</v>
      </c>
      <c r="F20" s="43">
        <f t="shared" si="2"/>
        <v>0</v>
      </c>
      <c r="G20" s="44"/>
      <c r="H20" s="149" t="str">
        <f>if(G20="x",if(or(G17="x",G13="x"),"","Requires Dual Top Group (AEN) or Black 3-Pc Hard Top (HT1)"),"")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39" t="s">
        <v>52</v>
      </c>
      <c r="B22" s="148" t="s">
        <v>53</v>
      </c>
      <c r="C22" s="41">
        <v>940.0</v>
      </c>
      <c r="D22" s="41">
        <v>1045.0</v>
      </c>
      <c r="E22" s="43">
        <f t="shared" si="1"/>
        <v>0</v>
      </c>
      <c r="F22" s="43">
        <f t="shared" si="2"/>
        <v>0</v>
      </c>
      <c r="G22" s="44"/>
      <c r="H22" s="149" t="str">
        <f>if(G5="x","N/A with 8HP75 Automatic Transmission (DFV)","")</f>
        <v/>
      </c>
    </row>
    <row r="23" ht="15.75" customHeight="1">
      <c r="A23" s="145" t="s">
        <v>136</v>
      </c>
      <c r="B23" s="146" t="s">
        <v>137</v>
      </c>
      <c r="C23" s="41">
        <v>1256.0</v>
      </c>
      <c r="D23" s="41">
        <v>1395.0</v>
      </c>
      <c r="E23" s="43">
        <f t="shared" si="1"/>
        <v>0</v>
      </c>
      <c r="F23" s="43">
        <f t="shared" si="2"/>
        <v>0</v>
      </c>
      <c r="G23" s="44"/>
      <c r="H23" s="149"/>
    </row>
    <row r="24">
      <c r="A24" s="39" t="s">
        <v>138</v>
      </c>
      <c r="B24" s="148" t="s">
        <v>139</v>
      </c>
      <c r="C24" s="49">
        <f>if(G17="x",0,536)</f>
        <v>536</v>
      </c>
      <c r="D24" s="50">
        <f>if(G17="x",0,595)</f>
        <v>595</v>
      </c>
      <c r="E24" s="43">
        <f t="shared" si="1"/>
        <v>0</v>
      </c>
      <c r="F24" s="43">
        <f t="shared" si="2"/>
        <v>0</v>
      </c>
      <c r="G24" s="44"/>
      <c r="H24" s="147" t="str">
        <f>if(G17="x","Included with AEN (Dual Top Group)[F17]","")</f>
        <v/>
      </c>
    </row>
    <row r="25" ht="15.75" customHeight="1">
      <c r="A25" s="39" t="s">
        <v>54</v>
      </c>
      <c r="B25" s="148" t="s">
        <v>55</v>
      </c>
      <c r="C25" s="41">
        <v>536.0</v>
      </c>
      <c r="D25" s="41">
        <v>595.0</v>
      </c>
      <c r="E25" s="43">
        <f t="shared" si="1"/>
        <v>0</v>
      </c>
      <c r="F25" s="43">
        <f t="shared" si="2"/>
        <v>0</v>
      </c>
      <c r="G25" s="44"/>
      <c r="H25" s="52" t="str">
        <f>if(G37="x","N/A with Mopar Soft Tri-fold (CT6) [F23]","")</f>
        <v/>
      </c>
    </row>
    <row r="26">
      <c r="A26" s="39" t="s">
        <v>140</v>
      </c>
      <c r="B26" s="148" t="s">
        <v>141</v>
      </c>
      <c r="C26" s="41">
        <v>896.0</v>
      </c>
      <c r="D26" s="42">
        <v>995.0</v>
      </c>
      <c r="E26" s="43">
        <f t="shared" si="1"/>
        <v>0</v>
      </c>
      <c r="F26" s="43">
        <f t="shared" si="2"/>
        <v>0</v>
      </c>
      <c r="G26" s="44"/>
      <c r="H26" s="147"/>
    </row>
    <row r="27" ht="15.75" customHeight="1">
      <c r="A27" s="39" t="s">
        <v>142</v>
      </c>
      <c r="B27" s="148" t="s">
        <v>143</v>
      </c>
      <c r="C27" s="41">
        <v>626.0</v>
      </c>
      <c r="D27" s="41">
        <v>695.0</v>
      </c>
      <c r="E27" s="43">
        <f t="shared" si="1"/>
        <v>0</v>
      </c>
      <c r="F27" s="43">
        <f t="shared" si="2"/>
        <v>0</v>
      </c>
      <c r="G27" s="44"/>
      <c r="H27" s="149" t="str">
        <f>if(and(G27="x",G4=""),"Requires 8-Speed Automatic 850Re Transmission (DFT)","")</f>
        <v/>
      </c>
    </row>
    <row r="28" ht="15.75" customHeight="1">
      <c r="A28" s="39" t="s">
        <v>144</v>
      </c>
      <c r="B28" s="148" t="s">
        <v>145</v>
      </c>
      <c r="C28" s="41">
        <v>0.0</v>
      </c>
      <c r="D28" s="41">
        <v>0.0</v>
      </c>
      <c r="E28" s="43">
        <f t="shared" si="1"/>
        <v>0</v>
      </c>
      <c r="F28" s="43">
        <f t="shared" si="2"/>
        <v>0</v>
      </c>
      <c r="G28" s="183" t="s">
        <v>30</v>
      </c>
      <c r="H28" s="147"/>
    </row>
    <row r="29" ht="15.75" customHeight="1">
      <c r="A29" s="39" t="s">
        <v>56</v>
      </c>
      <c r="B29" s="148" t="s">
        <v>57</v>
      </c>
      <c r="C29" s="50">
        <f>if(G33="x",0,266)</f>
        <v>0</v>
      </c>
      <c r="D29" s="50">
        <f>if(G33="x",0,295)</f>
        <v>0</v>
      </c>
      <c r="E29" s="43">
        <f t="shared" si="1"/>
        <v>0</v>
      </c>
      <c r="F29" s="43">
        <f t="shared" si="2"/>
        <v>0</v>
      </c>
      <c r="G29" s="44" t="s">
        <v>30</v>
      </c>
      <c r="H29" s="149" t="str">
        <f>if(G33="x","Included with Technology Group (AAN)","")</f>
        <v>Included with Technology Group (AAN)</v>
      </c>
    </row>
    <row r="30">
      <c r="A30" s="39" t="s">
        <v>146</v>
      </c>
      <c r="B30" s="148" t="s">
        <v>59</v>
      </c>
      <c r="C30" s="42">
        <v>27.0</v>
      </c>
      <c r="D30" s="42">
        <v>30.0</v>
      </c>
      <c r="E30" s="43">
        <f t="shared" si="1"/>
        <v>0</v>
      </c>
      <c r="F30" s="43">
        <f t="shared" si="2"/>
        <v>0</v>
      </c>
      <c r="G30" s="44"/>
      <c r="H30" s="147"/>
    </row>
    <row r="31" ht="15.75" customHeight="1">
      <c r="A31" s="39" t="s">
        <v>60</v>
      </c>
      <c r="B31" s="148" t="s">
        <v>61</v>
      </c>
      <c r="C31" s="41">
        <v>68.0</v>
      </c>
      <c r="D31" s="42">
        <v>75.0</v>
      </c>
      <c r="E31" s="43">
        <f t="shared" si="1"/>
        <v>0</v>
      </c>
      <c r="F31" s="43">
        <f t="shared" si="2"/>
        <v>0</v>
      </c>
      <c r="G31" s="44"/>
      <c r="H31" s="149" t="str">
        <f>if(G31="x",if(or(G17="x",G24="x"),"","Requires STB (Premium Soft Top)[F18] or AEN (Dual Top Group)[F17]"),"")</f>
        <v/>
      </c>
    </row>
    <row r="32" ht="15.75" customHeight="1">
      <c r="A32" s="39" t="s">
        <v>62</v>
      </c>
      <c r="B32" s="148" t="s">
        <v>63</v>
      </c>
      <c r="C32" s="41">
        <v>446.0</v>
      </c>
      <c r="D32" s="42">
        <v>495.0</v>
      </c>
      <c r="E32" s="43">
        <f t="shared" si="1"/>
        <v>0</v>
      </c>
      <c r="F32" s="43">
        <f t="shared" si="2"/>
        <v>0</v>
      </c>
      <c r="G32" s="44"/>
      <c r="H32" s="147"/>
    </row>
    <row r="33">
      <c r="A33" s="145" t="s">
        <v>147</v>
      </c>
      <c r="B33" s="146" t="s">
        <v>148</v>
      </c>
      <c r="C33" s="177">
        <v>0.0</v>
      </c>
      <c r="D33" s="177">
        <v>0.0</v>
      </c>
      <c r="E33" s="43">
        <f t="shared" si="1"/>
        <v>0</v>
      </c>
      <c r="F33" s="43">
        <f t="shared" si="2"/>
        <v>0</v>
      </c>
      <c r="G33" s="183" t="s">
        <v>30</v>
      </c>
      <c r="H33" s="149" t="str">
        <f>if(and(G33="x",G16=""),"Requires Convenience Group (ADC)","")</f>
        <v/>
      </c>
    </row>
    <row r="34">
      <c r="A34" s="39" t="s">
        <v>64</v>
      </c>
      <c r="B34" s="148" t="s">
        <v>149</v>
      </c>
      <c r="C34" s="177">
        <v>0.0</v>
      </c>
      <c r="D34" s="177">
        <v>0.0</v>
      </c>
      <c r="E34" s="43">
        <f t="shared" si="1"/>
        <v>0</v>
      </c>
      <c r="F34" s="43">
        <f t="shared" si="2"/>
        <v>0</v>
      </c>
      <c r="G34" s="183" t="s">
        <v>30</v>
      </c>
      <c r="H34" s="149" t="str">
        <f>if(or(G22="x",G23="x"),"Included with Max TowPackage (AJQ) or Popular Equipment Package (AEH)","")</f>
        <v/>
      </c>
    </row>
    <row r="35" ht="15.75" customHeight="1">
      <c r="A35" s="39" t="s">
        <v>150</v>
      </c>
      <c r="B35" s="148" t="s">
        <v>151</v>
      </c>
      <c r="C35" s="41">
        <v>266.0</v>
      </c>
      <c r="D35" s="42">
        <v>295.0</v>
      </c>
      <c r="E35" s="43">
        <f t="shared" si="1"/>
        <v>0</v>
      </c>
      <c r="F35" s="43">
        <f t="shared" si="2"/>
        <v>0</v>
      </c>
      <c r="G35" s="44"/>
      <c r="H35" s="149" t="str">
        <f>if(G35="x",if(or(G7="x",G10="x"),"","Requires 8.4 Radio (AEK) or Alpine Premium Audio (RC4)"),"")</f>
        <v/>
      </c>
    </row>
    <row r="36" ht="15.75" customHeight="1">
      <c r="A36" s="39" t="s">
        <v>66</v>
      </c>
      <c r="B36" s="148" t="s">
        <v>67</v>
      </c>
      <c r="C36" s="53">
        <v>896.0</v>
      </c>
      <c r="D36" s="53">
        <v>995.0</v>
      </c>
      <c r="E36" s="43">
        <f t="shared" si="1"/>
        <v>0</v>
      </c>
      <c r="F36" s="43">
        <f t="shared" si="2"/>
        <v>0</v>
      </c>
      <c r="G36" s="44"/>
      <c r="H36" s="52" t="str">
        <f>if(or(G25="x",G37="x"),"N/A with Roll-Up Tonneau (CSD) [F21] or Mopar Soft Tri-fold (CT6) [F23]","")</f>
        <v/>
      </c>
    </row>
    <row r="37" ht="15.75" customHeight="1">
      <c r="A37" s="39" t="s">
        <v>68</v>
      </c>
      <c r="B37" s="148" t="s">
        <v>69</v>
      </c>
      <c r="C37" s="53">
        <v>563.0</v>
      </c>
      <c r="D37" s="53">
        <v>625.0</v>
      </c>
      <c r="E37" s="43">
        <f t="shared" si="1"/>
        <v>0</v>
      </c>
      <c r="F37" s="43">
        <f t="shared" si="2"/>
        <v>0</v>
      </c>
      <c r="G37" s="54"/>
      <c r="H37" s="48" t="str">
        <f>if(or(G25="x",G36="x"),"N/A with Roll-Up Tonneau (CSD) [F21] or Mopar Hard Tri-fold (CSU) [F22]","")</f>
        <v/>
      </c>
    </row>
    <row r="38">
      <c r="A38" s="39"/>
      <c r="B38" s="40" t="s">
        <v>70</v>
      </c>
      <c r="C38" s="41">
        <v>220.0</v>
      </c>
      <c r="D38" s="41">
        <v>245.0</v>
      </c>
      <c r="E38" s="43">
        <f t="shared" si="1"/>
        <v>0</v>
      </c>
      <c r="F38" s="55">
        <f t="shared" si="2"/>
        <v>0</v>
      </c>
      <c r="G38" s="150"/>
      <c r="H38" s="57" t="s">
        <v>71</v>
      </c>
    </row>
    <row r="39">
      <c r="A39" s="58"/>
      <c r="B39" s="151" t="str">
        <f>'Mopar Add-Ons'!B24</f>
        <v>Total Mopar Add-On Cost</v>
      </c>
      <c r="C39" s="60"/>
      <c r="D39" s="60"/>
      <c r="E39" s="61">
        <f>'Mopar Add-Ons'!E24</f>
        <v>0</v>
      </c>
      <c r="F39" s="61">
        <f>'Mopar Add-Ons'!F24</f>
        <v>0</v>
      </c>
      <c r="G39" s="152"/>
      <c r="H39" s="64" t="str">
        <f>'Mopar Add-Ons'!H24</f>
        <v>Price pulled from sheet "Mopar Add-Ons"</v>
      </c>
    </row>
    <row r="40">
      <c r="A40" s="65"/>
      <c r="B40" s="153" t="s">
        <v>72</v>
      </c>
      <c r="C40" s="153"/>
      <c r="D40" s="153"/>
      <c r="E40" s="69">
        <f t="shared" ref="E40:F40" si="3">SUM(E3:E39)</f>
        <v>38554</v>
      </c>
      <c r="F40" s="69">
        <f t="shared" si="3"/>
        <v>39760</v>
      </c>
      <c r="G40" s="154"/>
      <c r="H40" s="154"/>
    </row>
    <row r="41" ht="15.75" customHeight="1">
      <c r="A41" s="155"/>
      <c r="B41" s="73" t="s">
        <v>73</v>
      </c>
      <c r="C41" s="74"/>
      <c r="D41" s="74"/>
      <c r="E41" s="75"/>
      <c r="F41" s="76">
        <f>F40+D57</f>
        <v>39760</v>
      </c>
      <c r="G41" s="72"/>
      <c r="H41" s="83"/>
    </row>
    <row r="42" ht="15.75" customHeight="1">
      <c r="A42" s="72"/>
      <c r="B42" s="72"/>
      <c r="C42" s="72"/>
      <c r="D42" s="72"/>
      <c r="E42" s="72"/>
      <c r="F42" s="72"/>
      <c r="G42" s="72"/>
      <c r="H42" s="83"/>
    </row>
    <row r="43" ht="15.0" customHeight="1">
      <c r="A43" s="78"/>
      <c r="B43" s="79" t="s">
        <v>23</v>
      </c>
      <c r="C43" s="80"/>
      <c r="D43" s="80">
        <f>F40</f>
        <v>39760</v>
      </c>
      <c r="E43" s="44"/>
      <c r="F43" s="81" t="s">
        <v>188</v>
      </c>
      <c r="G43" s="82"/>
      <c r="H43" s="184" t="s">
        <v>189</v>
      </c>
    </row>
    <row r="44" ht="15.0" customHeight="1">
      <c r="A44" s="78"/>
      <c r="B44" s="79" t="s">
        <v>22</v>
      </c>
      <c r="C44" s="80"/>
      <c r="D44" s="80">
        <f>E40</f>
        <v>38554</v>
      </c>
      <c r="E44" s="44"/>
      <c r="G44" s="84"/>
      <c r="H44" s="185" t="s">
        <v>101</v>
      </c>
    </row>
    <row r="45" ht="15.75" customHeight="1">
      <c r="A45" s="78"/>
      <c r="B45" s="79" t="s">
        <v>75</v>
      </c>
      <c r="C45" s="85">
        <v>0.03</v>
      </c>
      <c r="D45" s="80">
        <f>E40*(1-C45)</f>
        <v>37397.38</v>
      </c>
      <c r="E45" s="44"/>
      <c r="G45" s="84"/>
      <c r="H45" s="185" t="s">
        <v>190</v>
      </c>
    </row>
    <row r="46" ht="15.75" customHeight="1">
      <c r="A46" s="78"/>
      <c r="B46" s="87" t="s">
        <v>18</v>
      </c>
      <c r="C46" s="88"/>
      <c r="D46" s="89"/>
      <c r="E46" s="89"/>
      <c r="F46" s="90"/>
      <c r="G46" s="91"/>
      <c r="H46" s="185" t="s">
        <v>158</v>
      </c>
    </row>
    <row r="47" ht="15.75" customHeight="1">
      <c r="A47" s="78"/>
      <c r="B47" s="92" t="s">
        <v>76</v>
      </c>
      <c r="C47" s="93"/>
      <c r="D47" s="93">
        <v>1495.0</v>
      </c>
      <c r="E47" s="94">
        <f>(((SUM(((IF(E43="x",D43,0))+IF(E44="x",D44,0))+IF(E45="x",D45,0))+(IF(E46="x",D46,0))))+D47)</f>
        <v>1495</v>
      </c>
      <c r="F47" s="95"/>
      <c r="G47" s="96"/>
      <c r="H47" s="186" t="s">
        <v>185</v>
      </c>
    </row>
    <row r="48" ht="15.75" customHeight="1">
      <c r="A48" s="78"/>
      <c r="B48" s="97" t="s">
        <v>77</v>
      </c>
      <c r="C48" s="98"/>
      <c r="D48" s="98"/>
      <c r="E48" s="99"/>
      <c r="F48" s="100" t="s">
        <v>78</v>
      </c>
      <c r="G48" s="181"/>
      <c r="H48" s="186" t="s">
        <v>191</v>
      </c>
    </row>
    <row r="49" ht="15.75" customHeight="1">
      <c r="A49" s="78"/>
      <c r="B49" s="97" t="s">
        <v>79</v>
      </c>
      <c r="C49" s="98"/>
      <c r="D49" s="98"/>
      <c r="E49" s="99"/>
      <c r="F49" s="100" t="s">
        <v>80</v>
      </c>
      <c r="G49" s="181"/>
      <c r="H49" s="186" t="s">
        <v>186</v>
      </c>
    </row>
    <row r="50" ht="15.75" customHeight="1">
      <c r="A50" s="78"/>
      <c r="B50" s="97" t="s">
        <v>81</v>
      </c>
      <c r="C50" s="102"/>
      <c r="D50" s="102"/>
      <c r="E50" s="103"/>
      <c r="F50" s="100" t="s">
        <v>82</v>
      </c>
      <c r="G50" s="101"/>
      <c r="H50" s="186" t="s">
        <v>192</v>
      </c>
    </row>
    <row r="51" ht="15.75" customHeight="1">
      <c r="A51" s="78"/>
      <c r="B51" s="97" t="s">
        <v>83</v>
      </c>
      <c r="C51" s="102"/>
      <c r="D51" s="102"/>
      <c r="E51" s="103"/>
      <c r="F51" s="100" t="s">
        <v>84</v>
      </c>
      <c r="G51" s="101"/>
      <c r="H51" s="83"/>
    </row>
    <row r="52" ht="15.75" customHeight="1">
      <c r="A52" s="86"/>
      <c r="B52" s="104" t="s">
        <v>85</v>
      </c>
      <c r="C52" s="105"/>
      <c r="D52" s="106">
        <v>0.085</v>
      </c>
      <c r="E52" s="107">
        <f>(E47-E48+E50+E51)*D52</f>
        <v>127.075</v>
      </c>
      <c r="F52" s="100" t="s">
        <v>86</v>
      </c>
      <c r="G52" s="101"/>
      <c r="H52" s="83"/>
    </row>
    <row r="53" ht="15.75" customHeight="1">
      <c r="A53" s="86"/>
      <c r="B53" s="110" t="s">
        <v>87</v>
      </c>
      <c r="C53" s="111"/>
      <c r="D53" s="111"/>
      <c r="E53" s="111">
        <f>sum(E47-E48-E49+E50+E51+E52)</f>
        <v>1622.075</v>
      </c>
      <c r="F53" s="96"/>
      <c r="G53" s="112"/>
      <c r="H53" s="83"/>
    </row>
    <row r="54" ht="15.75" customHeight="1">
      <c r="A54" s="86"/>
      <c r="B54" s="115"/>
      <c r="C54" s="113"/>
      <c r="D54" s="113"/>
      <c r="E54" s="113"/>
      <c r="F54" s="116"/>
      <c r="G54" s="116"/>
      <c r="H54" s="83"/>
    </row>
    <row r="55" ht="15.75" customHeight="1">
      <c r="A55" s="86"/>
      <c r="B55" s="117"/>
      <c r="C55" s="118" t="s">
        <v>88</v>
      </c>
      <c r="D55" s="118"/>
      <c r="E55" s="113"/>
      <c r="F55" s="116"/>
      <c r="G55" s="116"/>
      <c r="H55" s="83"/>
    </row>
    <row r="56" ht="15.75" customHeight="1">
      <c r="A56" s="86"/>
      <c r="B56" s="83"/>
      <c r="C56" s="120" t="s">
        <v>89</v>
      </c>
      <c r="D56" s="121"/>
      <c r="E56" s="55">
        <f>E53</f>
        <v>1622.075</v>
      </c>
      <c r="F56" s="122" t="s">
        <v>90</v>
      </c>
      <c r="G56" s="101"/>
      <c r="H56" s="83"/>
    </row>
    <row r="57" ht="15.75" customHeight="1">
      <c r="A57" s="86"/>
      <c r="B57" s="83"/>
      <c r="C57" s="120" t="s">
        <v>91</v>
      </c>
      <c r="D57" s="121"/>
      <c r="E57" s="123">
        <v>0.049</v>
      </c>
      <c r="F57" s="124" t="s">
        <v>92</v>
      </c>
      <c r="G57" s="125"/>
      <c r="H57" s="83"/>
    </row>
    <row r="58" ht="15.75" customHeight="1">
      <c r="A58" s="86"/>
      <c r="B58" s="83"/>
      <c r="C58" s="126" t="s">
        <v>93</v>
      </c>
      <c r="D58" s="127"/>
      <c r="E58" s="128">
        <v>72.0</v>
      </c>
      <c r="F58" s="129" t="s">
        <v>94</v>
      </c>
      <c r="G58" s="130"/>
      <c r="H58" s="83"/>
    </row>
    <row r="59" ht="15.75" customHeight="1">
      <c r="A59" s="109"/>
      <c r="B59" s="115"/>
      <c r="C59" s="112" t="s">
        <v>95</v>
      </c>
      <c r="D59" s="112"/>
      <c r="E59" s="131">
        <f>PMT(E57/12,E58,-E56)</f>
        <v>26.0482338</v>
      </c>
      <c r="F59" s="77"/>
      <c r="G59" s="131"/>
      <c r="H59" s="115"/>
    </row>
    <row r="60" ht="15.75" customHeight="1">
      <c r="A60" s="114"/>
      <c r="B60" s="115"/>
      <c r="C60" s="115"/>
      <c r="D60" s="115"/>
      <c r="E60" s="115"/>
      <c r="F60" s="115"/>
      <c r="G60" s="115"/>
      <c r="H60" s="132"/>
    </row>
    <row r="61" ht="15.75" customHeight="1">
      <c r="A61" s="114"/>
      <c r="B61" s="115"/>
      <c r="C61" s="115"/>
      <c r="D61" s="115"/>
      <c r="E61" s="115"/>
      <c r="F61" s="115"/>
      <c r="G61" s="115"/>
      <c r="H61" s="132" t="s">
        <v>187</v>
      </c>
    </row>
    <row r="62" ht="15.75" customHeight="1">
      <c r="A62" s="114"/>
      <c r="B62" s="115"/>
      <c r="C62" s="115"/>
      <c r="D62" s="115"/>
      <c r="E62" s="115"/>
      <c r="F62" s="115"/>
      <c r="G62" s="115"/>
      <c r="H62" s="115"/>
    </row>
  </sheetData>
  <mergeCells count="1">
    <mergeCell ref="F43:G46"/>
  </mergeCells>
  <conditionalFormatting sqref="C36:D37">
    <cfRule type="cellIs" dxfId="0" priority="1" operator="equal">
      <formula>0</formula>
    </cfRule>
  </conditionalFormatting>
  <conditionalFormatting sqref="B6 B38">
    <cfRule type="containsText" dxfId="9" priority="2" operator="containsText" text="Mopar">
      <formula>NOT(ISERROR(SEARCH(("Mopar"),(B6))))</formula>
    </cfRule>
  </conditionalFormatting>
  <conditionalFormatting sqref="E4:F40">
    <cfRule type="cellIs" dxfId="1" priority="3" operator="equal">
      <formula>0</formula>
    </cfRule>
  </conditionalFormatting>
  <conditionalFormatting sqref="A13">
    <cfRule type="expression" dxfId="2" priority="4">
      <formula>G23="x"</formula>
    </cfRule>
  </conditionalFormatting>
  <conditionalFormatting sqref="A16">
    <cfRule type="expression" dxfId="2" priority="5">
      <formula>G23="x"</formula>
    </cfRule>
  </conditionalFormatting>
  <conditionalFormatting sqref="A34">
    <cfRule type="expression" dxfId="2" priority="6">
      <formula>G23="x"</formula>
    </cfRule>
  </conditionalFormatting>
  <conditionalFormatting sqref="A33">
    <cfRule type="expression" dxfId="2" priority="7">
      <formula>G23="x"</formula>
    </cfRule>
  </conditionalFormatting>
  <conditionalFormatting sqref="C13">
    <cfRule type="expression" dxfId="0" priority="8">
      <formula>G17="x"</formula>
    </cfRule>
  </conditionalFormatting>
  <conditionalFormatting sqref="D13">
    <cfRule type="expression" dxfId="0" priority="9">
      <formula>G17="x"</formula>
    </cfRule>
  </conditionalFormatting>
  <conditionalFormatting sqref="C24">
    <cfRule type="expression" dxfId="0" priority="10">
      <formula>G17="x"</formula>
    </cfRule>
  </conditionalFormatting>
  <conditionalFormatting sqref="D24">
    <cfRule type="expression" dxfId="0" priority="11">
      <formula>G17="x"</formula>
    </cfRule>
  </conditionalFormatting>
  <conditionalFormatting sqref="C11">
    <cfRule type="expression" dxfId="0" priority="12">
      <formula>G22="x"</formula>
    </cfRule>
  </conditionalFormatting>
  <conditionalFormatting sqref="D11">
    <cfRule type="expression" dxfId="0" priority="13">
      <formula>G22="x"</formula>
    </cfRule>
  </conditionalFormatting>
  <conditionalFormatting sqref="C34">
    <cfRule type="expression" dxfId="0" priority="14">
      <formula>G22="x"</formula>
    </cfRule>
  </conditionalFormatting>
  <conditionalFormatting sqref="D34">
    <cfRule type="expression" dxfId="0" priority="15">
      <formula>G22="x"</formula>
    </cfRule>
  </conditionalFormatting>
  <conditionalFormatting sqref="G13 G16 G28 G33:G34">
    <cfRule type="expression" dxfId="2" priority="16">
      <formula>and(G1="x",G13="")</formula>
    </cfRule>
  </conditionalFormatting>
  <conditionalFormatting sqref="G11">
    <cfRule type="expression" dxfId="2" priority="17">
      <formula>and(G22="x",G11="")</formula>
    </cfRule>
  </conditionalFormatting>
  <conditionalFormatting sqref="G6">
    <cfRule type="expression" dxfId="10" priority="18">
      <formula>and(G5="x",G6="")</formula>
    </cfRule>
  </conditionalFormatting>
  <conditionalFormatting sqref="G5">
    <cfRule type="expression" dxfId="4" priority="19">
      <formula>and(G5="",G6="x")</formula>
    </cfRule>
  </conditionalFormatting>
  <conditionalFormatting sqref="G28 G33">
    <cfRule type="expression" dxfId="10" priority="20">
      <formula>and(G2="x",G28="")</formula>
    </cfRule>
  </conditionalFormatting>
  <conditionalFormatting sqref="G16">
    <cfRule type="expression" dxfId="10" priority="21">
      <formula>and(G16="",G33="x")</formula>
    </cfRule>
  </conditionalFormatting>
  <conditionalFormatting sqref="G26">
    <cfRule type="expression" dxfId="10" priority="22">
      <formula>and(G26="",G8="x")</formula>
    </cfRule>
  </conditionalFormatting>
  <conditionalFormatting sqref="G13">
    <cfRule type="expression" dxfId="2" priority="23">
      <formula>and(G13="",G17="x")</formula>
    </cfRule>
  </conditionalFormatting>
  <conditionalFormatting sqref="G24">
    <cfRule type="expression" dxfId="2" priority="24">
      <formula>and(G24="",G17="x")</formula>
    </cfRule>
  </conditionalFormatting>
  <conditionalFormatting sqref="G13">
    <cfRule type="expression" dxfId="2" priority="25">
      <formula>and(G13="",G23="x")</formula>
    </cfRule>
  </conditionalFormatting>
  <conditionalFormatting sqref="G16">
    <cfRule type="expression" dxfId="2" priority="26">
      <formula>and(G16="",G23="x")</formula>
    </cfRule>
  </conditionalFormatting>
  <conditionalFormatting sqref="G13 G16 G28 G33:G34">
    <cfRule type="expression" dxfId="2" priority="27">
      <formula>and(G13="",G2="x")</formula>
    </cfRule>
  </conditionalFormatting>
  <conditionalFormatting sqref="G28 G33">
    <cfRule type="expression" dxfId="2" priority="28">
      <formula>and(G28="",G18="x")</formula>
    </cfRule>
  </conditionalFormatting>
  <conditionalFormatting sqref="C13">
    <cfRule type="expression" dxfId="0" priority="29">
      <formula>G23="x"</formula>
    </cfRule>
  </conditionalFormatting>
  <conditionalFormatting sqref="D13">
    <cfRule type="expression" dxfId="0" priority="30">
      <formula>G23="x"</formula>
    </cfRule>
  </conditionalFormatting>
  <conditionalFormatting sqref="C16">
    <cfRule type="expression" dxfId="0" priority="31">
      <formula>G23="x"</formula>
    </cfRule>
  </conditionalFormatting>
  <conditionalFormatting sqref="D16">
    <cfRule type="expression" dxfId="0" priority="32">
      <formula>G23="x"</formula>
    </cfRule>
  </conditionalFormatting>
  <conditionalFormatting sqref="C33">
    <cfRule type="expression" dxfId="0" priority="33">
      <formula>G23="x"</formula>
    </cfRule>
  </conditionalFormatting>
  <conditionalFormatting sqref="D33">
    <cfRule type="expression" dxfId="0" priority="34">
      <formula>G23="x"</formula>
    </cfRule>
  </conditionalFormatting>
  <conditionalFormatting sqref="C34">
    <cfRule type="expression" dxfId="0" priority="35">
      <formula>G23="x"</formula>
    </cfRule>
  </conditionalFormatting>
  <conditionalFormatting sqref="D34">
    <cfRule type="expression" dxfId="0" priority="36">
      <formula>G23="x"</formula>
    </cfRule>
  </conditionalFormatting>
  <conditionalFormatting sqref="G4">
    <cfRule type="expression" dxfId="10" priority="37">
      <formula>and(G27="x",G4="")</formula>
    </cfRule>
  </conditionalFormatting>
  <conditionalFormatting sqref="G4">
    <cfRule type="expression" dxfId="5" priority="38">
      <formula>and(G5="x",G4="x")</formula>
    </cfRule>
  </conditionalFormatting>
  <conditionalFormatting sqref="C29">
    <cfRule type="expression" dxfId="0" priority="39">
      <formula>G33="x"</formula>
    </cfRule>
  </conditionalFormatting>
  <conditionalFormatting sqref="D29">
    <cfRule type="expression" dxfId="0" priority="40">
      <formula>G33="x"</formula>
    </cfRule>
  </conditionalFormatting>
  <conditionalFormatting sqref="G17">
    <cfRule type="expression" dxfId="10" priority="41">
      <formula>and(G20="x",and(G17="",G13=""))</formula>
    </cfRule>
  </conditionalFormatting>
  <conditionalFormatting sqref="G13">
    <cfRule type="expression" dxfId="10" priority="42">
      <formula>and(G20="x",G13="")</formula>
    </cfRule>
  </conditionalFormatting>
  <conditionalFormatting sqref="C10">
    <cfRule type="expression" dxfId="0" priority="43">
      <formula>G7="x"</formula>
    </cfRule>
  </conditionalFormatting>
  <conditionalFormatting sqref="D10">
    <cfRule type="expression" dxfId="0" priority="44">
      <formula>G7="x"</formula>
    </cfRule>
  </conditionalFormatting>
  <conditionalFormatting sqref="G29">
    <cfRule type="expression" dxfId="2" priority="45">
      <formula>and(G29="",G33="x")</formula>
    </cfRule>
  </conditionalFormatting>
  <conditionalFormatting sqref="A5">
    <cfRule type="expression" dxfId="11" priority="46">
      <formula>G4="x"</formula>
    </cfRule>
  </conditionalFormatting>
  <conditionalFormatting sqref="B5">
    <cfRule type="expression" dxfId="11" priority="47">
      <formula>G4="x"</formula>
    </cfRule>
  </conditionalFormatting>
  <conditionalFormatting sqref="C5">
    <cfRule type="expression" dxfId="11" priority="48">
      <formula>G4="x"</formula>
    </cfRule>
  </conditionalFormatting>
  <conditionalFormatting sqref="D5">
    <cfRule type="expression" dxfId="11" priority="49">
      <formula>G4="x"</formula>
    </cfRule>
  </conditionalFormatting>
  <conditionalFormatting sqref="A6">
    <cfRule type="expression" dxfId="11" priority="50">
      <formula>G4="x"</formula>
    </cfRule>
  </conditionalFormatting>
  <conditionalFormatting sqref="B6">
    <cfRule type="expression" dxfId="11" priority="51">
      <formula>G4="x"</formula>
    </cfRule>
  </conditionalFormatting>
  <conditionalFormatting sqref="C6">
    <cfRule type="expression" dxfId="11" priority="52">
      <formula>G4="x"</formula>
    </cfRule>
  </conditionalFormatting>
  <conditionalFormatting sqref="D6">
    <cfRule type="expression" dxfId="11" priority="53">
      <formula>G4="x"</formula>
    </cfRule>
  </conditionalFormatting>
  <conditionalFormatting sqref="C11">
    <cfRule type="expression" dxfId="0" priority="54">
      <formula>G6="x"</formula>
    </cfRule>
  </conditionalFormatting>
  <conditionalFormatting sqref="D11">
    <cfRule type="expression" dxfId="0" priority="55">
      <formula>G6="x"</formula>
    </cfRule>
  </conditionalFormatting>
  <conditionalFormatting sqref="A22">
    <cfRule type="expression" dxfId="7" priority="56">
      <formula>G5="x"</formula>
    </cfRule>
  </conditionalFormatting>
  <conditionalFormatting sqref="B22">
    <cfRule type="expression" dxfId="7" priority="57">
      <formula>G5="x"</formula>
    </cfRule>
  </conditionalFormatting>
  <conditionalFormatting sqref="C22">
    <cfRule type="expression" dxfId="7" priority="58">
      <formula>G5="x"</formula>
    </cfRule>
  </conditionalFormatting>
  <conditionalFormatting sqref="D22">
    <cfRule type="expression" dxfId="12" priority="59">
      <formula>G5="x"</formula>
    </cfRule>
  </conditionalFormatting>
  <conditionalFormatting sqref="G22">
    <cfRule type="expression" dxfId="13" priority="60">
      <formula>G5="x"</formula>
    </cfRule>
  </conditionalFormatting>
  <conditionalFormatting sqref="H4:H39">
    <cfRule type="containsText" dxfId="0" priority="61" operator="containsText" text="Include">
      <formula>NOT(ISERROR(SEARCH(("Include"),(H4))))</formula>
    </cfRule>
  </conditionalFormatting>
  <conditionalFormatting sqref="H4:H39">
    <cfRule type="containsText" dxfId="6" priority="62" operator="containsText" text="Reduce">
      <formula>NOT(ISERROR(SEARCH(("Reduce"),(H4))))</formula>
    </cfRule>
  </conditionalFormatting>
  <conditionalFormatting sqref="H4:H39">
    <cfRule type="containsText" dxfId="5" priority="63" operator="containsText" text="N/A">
      <formula>NOT(ISERROR(SEARCH(("N/A"),(H4))))</formula>
    </cfRule>
  </conditionalFormatting>
  <conditionalFormatting sqref="H4:H39">
    <cfRule type="containsText" dxfId="5" priority="64" operator="containsText" text="Require">
      <formula>NOT(ISERROR(SEARCH(("Require"),(H4))))</formula>
    </cfRule>
  </conditionalFormatting>
  <conditionalFormatting sqref="H4:H39">
    <cfRule type="containsText" dxfId="5" priority="65" operator="containsText" text="Only">
      <formula>NOT(ISERROR(SEARCH(("Only"),(H4))))</formula>
    </cfRule>
  </conditionalFormatting>
  <conditionalFormatting sqref="B4:B39">
    <cfRule type="expression" dxfId="8" priority="66">
      <formula>G4:G39="x"</formula>
    </cfRule>
  </conditionalFormatting>
  <conditionalFormatting sqref="E4:E39">
    <cfRule type="expression" dxfId="14" priority="67">
      <formula>G4:G39="x"</formula>
    </cfRule>
  </conditionalFormatting>
  <conditionalFormatting sqref="F4:F39">
    <cfRule type="expression" dxfId="14" priority="68">
      <formula>G4:G39="x"</formula>
    </cfRule>
  </conditionalFormatting>
  <dataValidations>
    <dataValidation type="list" allowBlank="1" sqref="C45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9.0"/>
    <col customWidth="1" min="2" max="2" width="38.0"/>
    <col customWidth="1" min="3" max="4" width="11.29"/>
    <col customWidth="1" min="5" max="5" width="18.71"/>
    <col customWidth="1" min="6" max="6" width="16.71"/>
    <col customWidth="1" min="7" max="7" width="10.86"/>
    <col customWidth="1" min="8" max="8" width="62.29"/>
  </cols>
  <sheetData>
    <row r="1" ht="15.75" customHeight="1">
      <c r="A1" s="187"/>
      <c r="B1" s="187" t="s">
        <v>19</v>
      </c>
      <c r="C1" s="187"/>
      <c r="D1" s="187"/>
      <c r="E1" s="187"/>
      <c r="F1" s="187"/>
      <c r="G1" s="187"/>
      <c r="H1" s="28" t="s">
        <v>13</v>
      </c>
    </row>
    <row r="2" ht="15.75" customHeight="1">
      <c r="A2" s="188" t="s">
        <v>109</v>
      </c>
      <c r="B2" s="189" t="s">
        <v>21</v>
      </c>
      <c r="C2" s="190" t="s">
        <v>193</v>
      </c>
      <c r="D2" s="190" t="s">
        <v>23</v>
      </c>
      <c r="E2" s="190" t="s">
        <v>24</v>
      </c>
      <c r="F2" s="190" t="s">
        <v>25</v>
      </c>
      <c r="G2" s="190" t="s">
        <v>26</v>
      </c>
      <c r="H2" s="191" t="s">
        <v>194</v>
      </c>
    </row>
    <row r="3">
      <c r="A3" s="192" t="s">
        <v>195</v>
      </c>
      <c r="B3" s="193" t="s">
        <v>196</v>
      </c>
      <c r="C3" s="194">
        <v>41913.0</v>
      </c>
      <c r="D3" s="194">
        <v>43895.0</v>
      </c>
      <c r="E3" s="195">
        <f t="shared" ref="E3:E26" si="1">IF(G3="x",C3,0)</f>
        <v>41913</v>
      </c>
      <c r="F3" s="195">
        <f t="shared" ref="F3:F26" si="2">IF(G3="x",D3,0)</f>
        <v>43895</v>
      </c>
      <c r="G3" s="196" t="s">
        <v>30</v>
      </c>
      <c r="H3" s="197" t="s">
        <v>31</v>
      </c>
    </row>
    <row r="4">
      <c r="A4" s="198" t="s">
        <v>32</v>
      </c>
      <c r="B4" s="199" t="s">
        <v>33</v>
      </c>
      <c r="C4" s="53">
        <v>1800.0</v>
      </c>
      <c r="D4" s="200">
        <v>2000.0</v>
      </c>
      <c r="E4" s="201">
        <f t="shared" si="1"/>
        <v>0</v>
      </c>
      <c r="F4" s="201">
        <f t="shared" si="2"/>
        <v>0</v>
      </c>
      <c r="G4" s="202"/>
      <c r="H4" s="203"/>
    </row>
    <row r="5">
      <c r="A5" s="198" t="s">
        <v>197</v>
      </c>
      <c r="B5" s="199" t="s">
        <v>198</v>
      </c>
      <c r="C5" s="53">
        <v>896.0</v>
      </c>
      <c r="D5" s="200">
        <v>995.0</v>
      </c>
      <c r="E5" s="201">
        <f t="shared" si="1"/>
        <v>0</v>
      </c>
      <c r="F5" s="201">
        <f t="shared" si="2"/>
        <v>0</v>
      </c>
      <c r="G5" s="202"/>
      <c r="H5" s="204"/>
    </row>
    <row r="6">
      <c r="A6" s="198" t="s">
        <v>114</v>
      </c>
      <c r="B6" s="199" t="s">
        <v>199</v>
      </c>
      <c r="C6" s="53">
        <v>1706.0</v>
      </c>
      <c r="D6" s="53">
        <v>1895.0</v>
      </c>
      <c r="E6" s="201">
        <f t="shared" si="1"/>
        <v>0</v>
      </c>
      <c r="F6" s="201">
        <f t="shared" si="2"/>
        <v>0</v>
      </c>
      <c r="G6" s="202"/>
      <c r="H6" s="204"/>
    </row>
    <row r="7">
      <c r="A7" s="198" t="s">
        <v>116</v>
      </c>
      <c r="B7" s="199" t="s">
        <v>117</v>
      </c>
      <c r="C7" s="53">
        <v>716.0</v>
      </c>
      <c r="D7" s="200">
        <v>795.0</v>
      </c>
      <c r="E7" s="201">
        <f t="shared" si="1"/>
        <v>0</v>
      </c>
      <c r="F7" s="201">
        <f t="shared" si="2"/>
        <v>0</v>
      </c>
      <c r="G7" s="202"/>
      <c r="H7" s="204" t="str">
        <f>if(and(G7="x",G27=""),"Requires Safety Group (AJ1)","")</f>
        <v/>
      </c>
    </row>
    <row r="8">
      <c r="A8" s="198" t="s">
        <v>38</v>
      </c>
      <c r="B8" s="199" t="s">
        <v>118</v>
      </c>
      <c r="C8" s="53">
        <v>149.0</v>
      </c>
      <c r="D8" s="53">
        <v>165.0</v>
      </c>
      <c r="E8" s="201">
        <f t="shared" si="1"/>
        <v>0</v>
      </c>
      <c r="F8" s="201">
        <f t="shared" si="2"/>
        <v>0</v>
      </c>
      <c r="G8" s="202"/>
      <c r="H8" s="204"/>
    </row>
    <row r="9" ht="15.75" customHeight="1">
      <c r="A9" s="198" t="s">
        <v>119</v>
      </c>
      <c r="B9" s="199" t="s">
        <v>120</v>
      </c>
      <c r="C9" s="205">
        <f>if(G6="x",0,1166)</f>
        <v>1166</v>
      </c>
      <c r="D9" s="205">
        <f>if(G6="x",0,1295)</f>
        <v>1295</v>
      </c>
      <c r="E9" s="201">
        <f t="shared" si="1"/>
        <v>0</v>
      </c>
      <c r="F9" s="201">
        <f t="shared" si="2"/>
        <v>0</v>
      </c>
      <c r="G9" s="202"/>
      <c r="H9" s="206" t="str">
        <f>if(G6="x","Included with Premium Audio Group (AEK)","")</f>
        <v/>
      </c>
    </row>
    <row r="10" ht="15.75" customHeight="1">
      <c r="A10" s="198" t="s">
        <v>42</v>
      </c>
      <c r="B10" s="199" t="s">
        <v>122</v>
      </c>
      <c r="C10" s="53">
        <v>266.0</v>
      </c>
      <c r="D10" s="200">
        <v>295.0</v>
      </c>
      <c r="E10" s="201">
        <f t="shared" si="1"/>
        <v>0</v>
      </c>
      <c r="F10" s="201">
        <f t="shared" si="2"/>
        <v>0</v>
      </c>
      <c r="G10" s="202"/>
      <c r="H10" s="204"/>
    </row>
    <row r="11">
      <c r="A11" s="198" t="s">
        <v>44</v>
      </c>
      <c r="B11" s="199" t="s">
        <v>200</v>
      </c>
      <c r="C11" s="205">
        <f>if(G16="x",0,1256)</f>
        <v>1256</v>
      </c>
      <c r="D11" s="205">
        <f>if(G16="x",0,1395)</f>
        <v>1395</v>
      </c>
      <c r="E11" s="201">
        <f t="shared" si="1"/>
        <v>0</v>
      </c>
      <c r="F11" s="201">
        <f t="shared" si="2"/>
        <v>0</v>
      </c>
      <c r="G11" s="202"/>
      <c r="H11" s="204" t="str">
        <f>if(G16="x","Included with Dual Top Group (AEN)","")</f>
        <v/>
      </c>
    </row>
    <row r="12">
      <c r="A12" s="198" t="s">
        <v>201</v>
      </c>
      <c r="B12" s="199" t="s">
        <v>202</v>
      </c>
      <c r="C12" s="205">
        <f>if(G16="x",1080,2156)</f>
        <v>2156</v>
      </c>
      <c r="D12" s="205">
        <f>if(G16="x",1200,2395)</f>
        <v>2395</v>
      </c>
      <c r="E12" s="201">
        <f t="shared" si="1"/>
        <v>0</v>
      </c>
      <c r="F12" s="201">
        <f t="shared" si="2"/>
        <v>0</v>
      </c>
      <c r="G12" s="202"/>
      <c r="H12" s="204" t="str">
        <f>if(G16="x","Price Reduced if selected with Dual Top Group (AEN) instead of Black Hard Top","")</f>
        <v/>
      </c>
    </row>
    <row r="13">
      <c r="A13" s="198" t="s">
        <v>203</v>
      </c>
      <c r="B13" s="199" t="s">
        <v>204</v>
      </c>
      <c r="C13" s="53">
        <v>626.0</v>
      </c>
      <c r="D13" s="53">
        <v>695.0</v>
      </c>
      <c r="E13" s="201">
        <f t="shared" si="1"/>
        <v>0</v>
      </c>
      <c r="F13" s="201">
        <f t="shared" si="2"/>
        <v>0</v>
      </c>
      <c r="G13" s="202"/>
      <c r="H13" s="204"/>
    </row>
    <row r="14" ht="15.75" customHeight="1">
      <c r="A14" s="198" t="s">
        <v>124</v>
      </c>
      <c r="B14" s="199" t="s">
        <v>205</v>
      </c>
      <c r="C14" s="53">
        <v>806.0</v>
      </c>
      <c r="D14" s="200">
        <v>895.0</v>
      </c>
      <c r="E14" s="201">
        <f t="shared" si="1"/>
        <v>0</v>
      </c>
      <c r="F14" s="201">
        <f t="shared" si="2"/>
        <v>0</v>
      </c>
      <c r="G14" s="202"/>
      <c r="H14" s="204"/>
    </row>
    <row r="15">
      <c r="A15" s="198" t="s">
        <v>126</v>
      </c>
      <c r="B15" s="199" t="s">
        <v>127</v>
      </c>
      <c r="C15" s="205">
        <f>if(G4="X",896,626)</f>
        <v>626</v>
      </c>
      <c r="D15" s="205">
        <f>if(G4="X",995,695)</f>
        <v>695</v>
      </c>
      <c r="E15" s="201">
        <f t="shared" si="1"/>
        <v>0</v>
      </c>
      <c r="F15" s="201">
        <f t="shared" si="2"/>
        <v>0</v>
      </c>
      <c r="G15" s="202"/>
      <c r="H15" s="207"/>
    </row>
    <row r="16">
      <c r="A16" s="198" t="s">
        <v>130</v>
      </c>
      <c r="B16" s="199" t="s">
        <v>131</v>
      </c>
      <c r="C16" s="53">
        <v>2156.0</v>
      </c>
      <c r="D16" s="53">
        <v>2395.0</v>
      </c>
      <c r="E16" s="201">
        <f t="shared" si="1"/>
        <v>0</v>
      </c>
      <c r="F16" s="201">
        <f t="shared" si="2"/>
        <v>0</v>
      </c>
      <c r="G16" s="202"/>
      <c r="H16" s="149" t="str">
        <f>if(AND(G16="x",G26="",G35="",G36=""),"Requires Tonneau Option; Roll-Up (CSD), Hard Tri-Fold (CSU) or Soft Tri-Fold (CT6)","")</f>
        <v/>
      </c>
    </row>
    <row r="17">
      <c r="A17" s="198" t="s">
        <v>48</v>
      </c>
      <c r="B17" s="199" t="s">
        <v>49</v>
      </c>
      <c r="C17" s="53">
        <v>86.0</v>
      </c>
      <c r="D17" s="200">
        <v>95.0</v>
      </c>
      <c r="E17" s="201">
        <f t="shared" si="1"/>
        <v>0</v>
      </c>
      <c r="F17" s="201">
        <f t="shared" si="2"/>
        <v>0</v>
      </c>
      <c r="G17" s="202"/>
      <c r="H17" s="203"/>
    </row>
    <row r="18">
      <c r="A18" s="198" t="s">
        <v>134</v>
      </c>
      <c r="B18" s="199" t="s">
        <v>135</v>
      </c>
      <c r="C18" s="53">
        <v>500.0</v>
      </c>
      <c r="D18" s="200">
        <v>555.0</v>
      </c>
      <c r="E18" s="201">
        <f t="shared" si="1"/>
        <v>0</v>
      </c>
      <c r="F18" s="201">
        <f t="shared" si="2"/>
        <v>0</v>
      </c>
      <c r="G18" s="202"/>
      <c r="H18" s="206" t="str">
        <f>if(G18="x",if(or($G$11="x",$G$12="x"),"","Requires Black Hard-Top (HT1) or Body Color Hard Top (HT3)"),"")</f>
        <v/>
      </c>
    </row>
    <row r="19" ht="15.75" customHeight="1">
      <c r="A19" s="198" t="s">
        <v>206</v>
      </c>
      <c r="B19" s="199" t="s">
        <v>207</v>
      </c>
      <c r="C19" s="53">
        <v>536.0</v>
      </c>
      <c r="D19" s="200">
        <v>595.0</v>
      </c>
      <c r="E19" s="201">
        <f t="shared" si="1"/>
        <v>0</v>
      </c>
      <c r="F19" s="201">
        <f t="shared" si="2"/>
        <v>0</v>
      </c>
      <c r="G19" s="202"/>
      <c r="H19" s="206" t="str">
        <f>if(G19="x",if(and($G$6="x",$G$21="x"),"","Requires AD6 (LED lights)[F6] and AEK (8.4 radio)[F8]"),"")</f>
        <v/>
      </c>
    </row>
    <row r="20" ht="15.75" customHeight="1">
      <c r="A20" s="39" t="s">
        <v>50</v>
      </c>
      <c r="B20" s="40" t="s">
        <v>51</v>
      </c>
      <c r="C20" s="41">
        <v>180.0</v>
      </c>
      <c r="D20" s="41">
        <v>200.0</v>
      </c>
      <c r="E20" s="43">
        <f t="shared" si="1"/>
        <v>0</v>
      </c>
      <c r="F20" s="43">
        <f t="shared" si="2"/>
        <v>0</v>
      </c>
      <c r="G20" s="44"/>
      <c r="H20" s="52"/>
    </row>
    <row r="21">
      <c r="A21" s="198" t="s">
        <v>208</v>
      </c>
      <c r="B21" s="199" t="s">
        <v>209</v>
      </c>
      <c r="C21" s="53">
        <v>1166.0</v>
      </c>
      <c r="D21" s="53">
        <v>1295.0</v>
      </c>
      <c r="E21" s="201">
        <f t="shared" si="1"/>
        <v>0</v>
      </c>
      <c r="F21" s="201">
        <f t="shared" si="2"/>
        <v>0</v>
      </c>
      <c r="G21" s="202"/>
      <c r="H21" s="204"/>
    </row>
    <row r="22">
      <c r="A22" s="198" t="s">
        <v>210</v>
      </c>
      <c r="B22" s="199" t="s">
        <v>211</v>
      </c>
      <c r="C22" s="200">
        <v>0.0</v>
      </c>
      <c r="D22" s="200">
        <v>0.0</v>
      </c>
      <c r="E22" s="201">
        <f t="shared" si="1"/>
        <v>0</v>
      </c>
      <c r="F22" s="201">
        <f t="shared" si="2"/>
        <v>0</v>
      </c>
      <c r="G22" s="202"/>
      <c r="H22" s="204"/>
    </row>
    <row r="23" ht="15.75" customHeight="1">
      <c r="A23" s="198" t="s">
        <v>138</v>
      </c>
      <c r="B23" s="199" t="s">
        <v>139</v>
      </c>
      <c r="C23" s="205">
        <f>if(G16="x",0,536)</f>
        <v>536</v>
      </c>
      <c r="D23" s="205">
        <f>if(G16="x",0,595)</f>
        <v>595</v>
      </c>
      <c r="E23" s="201">
        <f t="shared" si="1"/>
        <v>0</v>
      </c>
      <c r="F23" s="201">
        <f t="shared" si="2"/>
        <v>0</v>
      </c>
      <c r="G23" s="202"/>
      <c r="H23" s="204" t="str">
        <f>if(G16="x","Included with Dual Top Group (AEN)","")</f>
        <v/>
      </c>
    </row>
    <row r="24">
      <c r="A24" s="198" t="s">
        <v>212</v>
      </c>
      <c r="B24" s="199" t="s">
        <v>213</v>
      </c>
      <c r="C24" s="53">
        <v>490.0</v>
      </c>
      <c r="D24" s="53">
        <v>545.0</v>
      </c>
      <c r="E24" s="201">
        <f t="shared" si="1"/>
        <v>0</v>
      </c>
      <c r="F24" s="201">
        <f t="shared" si="2"/>
        <v>0</v>
      </c>
      <c r="G24" s="202"/>
      <c r="H24" s="204"/>
    </row>
    <row r="25" ht="15.75" customHeight="1">
      <c r="A25" s="198" t="s">
        <v>214</v>
      </c>
      <c r="B25" s="199" t="s">
        <v>215</v>
      </c>
      <c r="C25" s="205">
        <f>if(G15="x",0,446)</f>
        <v>446</v>
      </c>
      <c r="D25" s="205">
        <f>if(G15="x",0,495)</f>
        <v>495</v>
      </c>
      <c r="E25" s="201">
        <f t="shared" si="1"/>
        <v>0</v>
      </c>
      <c r="F25" s="201">
        <f t="shared" si="2"/>
        <v>0</v>
      </c>
      <c r="G25" s="202"/>
      <c r="H25" s="208" t="str">
        <f>if(and(G25="x",G4=""),"Requires Automatic Transmission (DFT)",if(G15="x","Included w/ Cold Weather Group (ADE)", ""))</f>
        <v/>
      </c>
    </row>
    <row r="26" ht="15.75" customHeight="1">
      <c r="A26" s="198" t="s">
        <v>54</v>
      </c>
      <c r="B26" s="199" t="s">
        <v>55</v>
      </c>
      <c r="C26" s="53">
        <v>536.0</v>
      </c>
      <c r="D26" s="53">
        <v>595.0</v>
      </c>
      <c r="E26" s="201">
        <f t="shared" si="1"/>
        <v>0</v>
      </c>
      <c r="F26" s="201">
        <f t="shared" si="2"/>
        <v>0</v>
      </c>
      <c r="G26" s="202"/>
      <c r="H26" s="52" t="str">
        <f>if(G26="x","N/A with Mopar Soft Tri-fold (CT6) or Hard Tri-Fold Tonneau (CSU)","")</f>
        <v/>
      </c>
    </row>
    <row r="27" ht="15.75" customHeight="1">
      <c r="A27" s="198" t="s">
        <v>140</v>
      </c>
      <c r="B27" s="199" t="s">
        <v>141</v>
      </c>
      <c r="C27" s="205">
        <f>if(G21="X",806,896)</f>
        <v>896</v>
      </c>
      <c r="D27" s="205">
        <f>if(G21="X",895,995)</f>
        <v>995</v>
      </c>
      <c r="E27" s="201">
        <f>IF(G27="x",C27,0)</f>
        <v>0</v>
      </c>
      <c r="F27" s="201">
        <f>IF(G27="x",D27,0)</f>
        <v>0</v>
      </c>
      <c r="G27" s="202"/>
      <c r="H27" s="207"/>
    </row>
    <row r="28" ht="15.75" customHeight="1">
      <c r="A28" s="39" t="s">
        <v>142</v>
      </c>
      <c r="B28" s="148" t="s">
        <v>143</v>
      </c>
      <c r="C28" s="41">
        <v>626.0</v>
      </c>
      <c r="D28" s="41">
        <v>695.0</v>
      </c>
      <c r="E28" s="43">
        <f t="shared" ref="E28:E37" si="3">IF(G28="x",C28,0)</f>
        <v>0</v>
      </c>
      <c r="F28" s="43">
        <f t="shared" ref="F28:F37" si="4">IF(G28="x",D28,0)</f>
        <v>0</v>
      </c>
      <c r="G28" s="44"/>
      <c r="H28" s="149" t="str">
        <f>if(and(G28="x",G4=""),"Requires 8-Speed Automatic 850Re Transmission (DFT)","")</f>
        <v/>
      </c>
    </row>
    <row r="29">
      <c r="A29" s="198" t="s">
        <v>58</v>
      </c>
      <c r="B29" s="199" t="s">
        <v>216</v>
      </c>
      <c r="C29" s="200">
        <v>27.0</v>
      </c>
      <c r="D29" s="200">
        <v>30.0</v>
      </c>
      <c r="E29" s="201">
        <f t="shared" si="3"/>
        <v>0</v>
      </c>
      <c r="F29" s="201">
        <f t="shared" si="4"/>
        <v>0</v>
      </c>
      <c r="G29" s="202"/>
      <c r="H29" s="204"/>
    </row>
    <row r="30" ht="15.75" customHeight="1">
      <c r="A30" s="198" t="s">
        <v>60</v>
      </c>
      <c r="B30" s="199" t="s">
        <v>61</v>
      </c>
      <c r="C30" s="53">
        <v>68.0</v>
      </c>
      <c r="D30" s="200">
        <v>75.0</v>
      </c>
      <c r="E30" s="201">
        <f t="shared" si="3"/>
        <v>0</v>
      </c>
      <c r="F30" s="201">
        <f t="shared" si="4"/>
        <v>0</v>
      </c>
      <c r="G30" s="202"/>
      <c r="H30" s="206" t="str">
        <f>if(and(G30="x",G23=""),"Requires Premium Soft Top (STB)","")</f>
        <v/>
      </c>
    </row>
    <row r="31" ht="15.75" customHeight="1">
      <c r="A31" s="198" t="s">
        <v>62</v>
      </c>
      <c r="B31" s="199" t="s">
        <v>63</v>
      </c>
      <c r="C31" s="53">
        <v>446.0</v>
      </c>
      <c r="D31" s="200">
        <v>495.0</v>
      </c>
      <c r="E31" s="201">
        <f t="shared" si="3"/>
        <v>0</v>
      </c>
      <c r="F31" s="201">
        <f t="shared" si="4"/>
        <v>0</v>
      </c>
      <c r="G31" s="202"/>
      <c r="H31" s="204"/>
    </row>
    <row r="32" ht="15.75" customHeight="1">
      <c r="A32" s="198" t="s">
        <v>64</v>
      </c>
      <c r="B32" s="199" t="s">
        <v>149</v>
      </c>
      <c r="C32" s="53">
        <v>316.0</v>
      </c>
      <c r="D32" s="53">
        <v>350.0</v>
      </c>
      <c r="E32" s="201">
        <f t="shared" si="3"/>
        <v>0</v>
      </c>
      <c r="F32" s="201">
        <f t="shared" si="4"/>
        <v>0</v>
      </c>
      <c r="G32" s="202"/>
      <c r="H32" s="204"/>
    </row>
    <row r="33" ht="15.75" customHeight="1">
      <c r="A33" s="198" t="s">
        <v>150</v>
      </c>
      <c r="B33" s="199" t="s">
        <v>151</v>
      </c>
      <c r="C33" s="53">
        <v>266.0</v>
      </c>
      <c r="D33" s="200">
        <v>295.0</v>
      </c>
      <c r="E33" s="201">
        <f t="shared" si="3"/>
        <v>0</v>
      </c>
      <c r="F33" s="201">
        <f t="shared" si="4"/>
        <v>0</v>
      </c>
      <c r="G33" s="202"/>
      <c r="H33" s="206" t="str">
        <f>if(and(G33="x",G6=""),"Requires Premium Audio Group (AEK)","")</f>
        <v/>
      </c>
    </row>
    <row r="34" ht="15.75" customHeight="1">
      <c r="A34" s="198" t="s">
        <v>217</v>
      </c>
      <c r="B34" s="199" t="s">
        <v>218</v>
      </c>
      <c r="C34" s="53">
        <v>1436.0</v>
      </c>
      <c r="D34" s="53">
        <v>1595.0</v>
      </c>
      <c r="E34" s="201">
        <f t="shared" si="3"/>
        <v>0</v>
      </c>
      <c r="F34" s="201">
        <f t="shared" si="4"/>
        <v>0</v>
      </c>
      <c r="G34" s="202"/>
      <c r="H34" s="209"/>
    </row>
    <row r="35" ht="15.75" customHeight="1">
      <c r="A35" s="198" t="s">
        <v>66</v>
      </c>
      <c r="B35" s="199" t="s">
        <v>67</v>
      </c>
      <c r="C35" s="53">
        <v>896.0</v>
      </c>
      <c r="D35" s="53">
        <v>995.0</v>
      </c>
      <c r="E35" s="201">
        <f t="shared" si="3"/>
        <v>0</v>
      </c>
      <c r="F35" s="201">
        <f t="shared" si="4"/>
        <v>0</v>
      </c>
      <c r="G35" s="202"/>
      <c r="H35" s="52" t="str">
        <f>if(or(G17="x",G36="x"),"N/A with Roll-Up Tonneau (CSD) or Mopar Soft Tri-fold Tonneau (CT6)","")</f>
        <v/>
      </c>
    </row>
    <row r="36" ht="15.75" customHeight="1">
      <c r="A36" s="198" t="s">
        <v>68</v>
      </c>
      <c r="B36" s="199" t="s">
        <v>69</v>
      </c>
      <c r="C36" s="53">
        <v>563.0</v>
      </c>
      <c r="D36" s="53">
        <v>625.0</v>
      </c>
      <c r="E36" s="201">
        <f t="shared" si="3"/>
        <v>0</v>
      </c>
      <c r="F36" s="201">
        <f t="shared" si="4"/>
        <v>0</v>
      </c>
      <c r="G36" s="210"/>
      <c r="H36" s="48" t="str">
        <f>if(or(G17="x",G35="x"),"N/A with Roll-up Tonneau (CSD) or Mopar Hard Tri-fold Tonneau (CSU)","")</f>
        <v/>
      </c>
    </row>
    <row r="37">
      <c r="A37" s="198"/>
      <c r="B37" s="40" t="s">
        <v>70</v>
      </c>
      <c r="C37" s="41">
        <v>220.0</v>
      </c>
      <c r="D37" s="41">
        <v>245.0</v>
      </c>
      <c r="E37" s="201">
        <f t="shared" si="3"/>
        <v>0</v>
      </c>
      <c r="F37" s="211">
        <f t="shared" si="4"/>
        <v>0</v>
      </c>
      <c r="G37" s="150"/>
      <c r="H37" s="57" t="s">
        <v>71</v>
      </c>
    </row>
    <row r="38" ht="15.75" customHeight="1">
      <c r="A38" s="212"/>
      <c r="B38" s="59" t="str">
        <f>'Mopar Add-Ons'!B24</f>
        <v>Total Mopar Add-On Cost</v>
      </c>
      <c r="C38" s="213"/>
      <c r="D38" s="213"/>
      <c r="E38" s="214">
        <f>'Mopar Add-Ons'!E24</f>
        <v>0</v>
      </c>
      <c r="F38" s="214">
        <f>'Mopar Add-Ons'!F24</f>
        <v>0</v>
      </c>
      <c r="G38" s="215"/>
      <c r="H38" s="64" t="str">
        <f>'Mopar Add-Ons'!H24</f>
        <v>Price pulled from sheet "Mopar Add-Ons"</v>
      </c>
    </row>
    <row r="39" ht="15.75" customHeight="1">
      <c r="A39" s="216"/>
      <c r="B39" s="217" t="s">
        <v>72</v>
      </c>
      <c r="C39" s="217"/>
      <c r="D39" s="217"/>
      <c r="E39" s="218">
        <f t="shared" ref="E39:F39" si="5">SUM(E3:E38)</f>
        <v>41913</v>
      </c>
      <c r="F39" s="218">
        <f t="shared" si="5"/>
        <v>43895</v>
      </c>
      <c r="G39" s="219"/>
      <c r="H39" s="209"/>
    </row>
    <row r="40">
      <c r="A40" s="72"/>
      <c r="B40" s="73" t="s">
        <v>73</v>
      </c>
      <c r="C40" s="74"/>
      <c r="D40" s="74"/>
      <c r="E40" s="75"/>
      <c r="F40" s="76">
        <f>F39+E55</f>
        <v>45517.075</v>
      </c>
      <c r="G40" s="77"/>
      <c r="H40" s="48"/>
    </row>
    <row r="41" ht="15.75" customHeight="1">
      <c r="A41" s="220"/>
      <c r="B41" s="220"/>
      <c r="C41" s="220"/>
      <c r="D41" s="220"/>
      <c r="E41" s="220"/>
      <c r="F41" s="220"/>
      <c r="G41" s="220"/>
      <c r="H41" s="221" t="s">
        <v>219</v>
      </c>
    </row>
    <row r="42" ht="15.0" customHeight="1">
      <c r="A42" s="222"/>
      <c r="B42" s="79" t="s">
        <v>23</v>
      </c>
      <c r="C42" s="80"/>
      <c r="D42" s="80">
        <f>F39</f>
        <v>43895</v>
      </c>
      <c r="E42" s="44"/>
      <c r="F42" s="81" t="s">
        <v>220</v>
      </c>
      <c r="G42" s="82"/>
      <c r="H42" s="223" t="s">
        <v>221</v>
      </c>
    </row>
    <row r="43" ht="15.75" customHeight="1">
      <c r="A43" s="222"/>
      <c r="B43" s="79" t="s">
        <v>22</v>
      </c>
      <c r="C43" s="80"/>
      <c r="D43" s="80">
        <f>E39</f>
        <v>41913</v>
      </c>
      <c r="E43" s="44"/>
      <c r="G43" s="84"/>
      <c r="H43" s="224" t="s">
        <v>222</v>
      </c>
    </row>
    <row r="44" ht="15.75" customHeight="1">
      <c r="A44" s="222"/>
      <c r="B44" s="79" t="s">
        <v>75</v>
      </c>
      <c r="C44" s="85">
        <v>0.03</v>
      </c>
      <c r="D44" s="80">
        <f>E39*(1-C44)</f>
        <v>40655.61</v>
      </c>
      <c r="E44" s="44"/>
      <c r="G44" s="84"/>
      <c r="H44" s="224" t="s">
        <v>223</v>
      </c>
    </row>
    <row r="45" ht="15.75" customHeight="1">
      <c r="A45" s="222"/>
      <c r="B45" s="87" t="s">
        <v>18</v>
      </c>
      <c r="C45" s="88"/>
      <c r="D45" s="89"/>
      <c r="E45" s="89"/>
      <c r="F45" s="90"/>
      <c r="G45" s="91"/>
      <c r="H45" s="224" t="s">
        <v>224</v>
      </c>
    </row>
    <row r="46" ht="15.75" customHeight="1">
      <c r="A46" s="222"/>
      <c r="B46" s="92" t="s">
        <v>76</v>
      </c>
      <c r="C46" s="93"/>
      <c r="D46" s="93">
        <v>1495.0</v>
      </c>
      <c r="E46" s="94">
        <f>(((SUM(((IF(E42="x",D42,0))+IF(E43="x",D43,0))+IF(E44="x",D44,0))+(IF(E45="x",D45,0))))+D46)</f>
        <v>1495</v>
      </c>
      <c r="F46" s="95"/>
      <c r="G46" s="96"/>
      <c r="H46" s="224" t="s">
        <v>225</v>
      </c>
    </row>
    <row r="47" ht="15.75" customHeight="1">
      <c r="A47" s="222"/>
      <c r="B47" s="97" t="s">
        <v>77</v>
      </c>
      <c r="C47" s="98"/>
      <c r="D47" s="98"/>
      <c r="E47" s="99"/>
      <c r="F47" s="100" t="s">
        <v>78</v>
      </c>
      <c r="G47" s="101"/>
      <c r="H47" s="224" t="s">
        <v>226</v>
      </c>
    </row>
    <row r="48" ht="15.75" customHeight="1">
      <c r="A48" s="222"/>
      <c r="B48" s="97" t="s">
        <v>79</v>
      </c>
      <c r="C48" s="98"/>
      <c r="D48" s="98"/>
      <c r="E48" s="99"/>
      <c r="F48" s="100" t="s">
        <v>80</v>
      </c>
      <c r="G48" s="101"/>
      <c r="H48" s="224" t="s">
        <v>227</v>
      </c>
    </row>
    <row r="49" ht="15.75" customHeight="1">
      <c r="A49" s="222"/>
      <c r="B49" s="97" t="s">
        <v>81</v>
      </c>
      <c r="C49" s="102"/>
      <c r="D49" s="102"/>
      <c r="E49" s="103"/>
      <c r="F49" s="100" t="s">
        <v>82</v>
      </c>
      <c r="G49" s="101"/>
      <c r="H49" s="224" t="s">
        <v>228</v>
      </c>
    </row>
    <row r="50" ht="15.75" customHeight="1">
      <c r="A50" s="225"/>
      <c r="B50" s="97" t="s">
        <v>83</v>
      </c>
      <c r="C50" s="102"/>
      <c r="D50" s="102"/>
      <c r="E50" s="103"/>
      <c r="F50" s="100" t="s">
        <v>84</v>
      </c>
      <c r="G50" s="101"/>
      <c r="H50" s="224" t="s">
        <v>229</v>
      </c>
    </row>
    <row r="51" ht="15.75" customHeight="1">
      <c r="A51" s="225"/>
      <c r="B51" s="104" t="s">
        <v>85</v>
      </c>
      <c r="C51" s="105"/>
      <c r="D51" s="106">
        <v>0.085</v>
      </c>
      <c r="E51" s="107">
        <f>(E46-E47+E49+E50)*D51</f>
        <v>127.075</v>
      </c>
      <c r="F51" s="100" t="s">
        <v>86</v>
      </c>
      <c r="G51" s="101"/>
      <c r="H51" s="224" t="s">
        <v>230</v>
      </c>
    </row>
    <row r="52" ht="15.75" customHeight="1">
      <c r="A52" s="225"/>
      <c r="B52" s="110" t="s">
        <v>87</v>
      </c>
      <c r="C52" s="111"/>
      <c r="D52" s="111"/>
      <c r="E52" s="111">
        <f>sum(E46-E47-E48+E49+E50+E51)</f>
        <v>1622.075</v>
      </c>
      <c r="F52" s="96"/>
      <c r="G52" s="112"/>
      <c r="H52" s="224" t="s">
        <v>231</v>
      </c>
    </row>
    <row r="53" ht="15.75" customHeight="1">
      <c r="A53" s="225"/>
      <c r="B53" s="115"/>
      <c r="C53" s="113"/>
      <c r="D53" s="113"/>
      <c r="E53" s="113"/>
      <c r="F53" s="116"/>
      <c r="G53" s="116"/>
      <c r="H53" s="224" t="s">
        <v>232</v>
      </c>
    </row>
    <row r="54" ht="15.75" customHeight="1">
      <c r="A54" s="225"/>
      <c r="B54" s="117"/>
      <c r="C54" s="118" t="s">
        <v>88</v>
      </c>
      <c r="D54" s="118"/>
      <c r="E54" s="113"/>
      <c r="F54" s="116"/>
      <c r="G54" s="116"/>
      <c r="H54" s="224" t="s">
        <v>229</v>
      </c>
    </row>
    <row r="55" ht="15.75" customHeight="1">
      <c r="A55" s="225"/>
      <c r="B55" s="83"/>
      <c r="C55" s="120" t="s">
        <v>89</v>
      </c>
      <c r="D55" s="121"/>
      <c r="E55" s="55">
        <f>E52</f>
        <v>1622.075</v>
      </c>
      <c r="F55" s="122" t="s">
        <v>90</v>
      </c>
      <c r="G55" s="101"/>
      <c r="H55" s="224" t="s">
        <v>233</v>
      </c>
    </row>
    <row r="56" ht="15.75" customHeight="1">
      <c r="A56" s="225"/>
      <c r="B56" s="83"/>
      <c r="C56" s="120" t="s">
        <v>91</v>
      </c>
      <c r="D56" s="121"/>
      <c r="E56" s="123">
        <v>0.049</v>
      </c>
      <c r="F56" s="124" t="s">
        <v>92</v>
      </c>
      <c r="G56" s="125"/>
      <c r="H56" s="226" t="s">
        <v>234</v>
      </c>
    </row>
    <row r="57" ht="15.75" customHeight="1">
      <c r="A57" s="227"/>
      <c r="B57" s="83"/>
      <c r="C57" s="126" t="s">
        <v>93</v>
      </c>
      <c r="D57" s="127"/>
      <c r="E57" s="128">
        <v>72.0</v>
      </c>
      <c r="F57" s="129" t="s">
        <v>94</v>
      </c>
      <c r="G57" s="130"/>
      <c r="H57" s="228"/>
    </row>
    <row r="58" ht="15.75" customHeight="1">
      <c r="A58" s="229"/>
      <c r="B58" s="115"/>
      <c r="C58" s="112" t="s">
        <v>95</v>
      </c>
      <c r="D58" s="112"/>
      <c r="E58" s="131">
        <f>PMT(E56/12,E57,-E55)</f>
        <v>26.0482338</v>
      </c>
      <c r="F58" s="77"/>
      <c r="G58" s="131"/>
      <c r="H58" s="228"/>
    </row>
    <row r="59" ht="15.75" customHeight="1">
      <c r="A59" s="114"/>
      <c r="B59" s="115"/>
      <c r="C59" s="115"/>
      <c r="D59" s="115"/>
      <c r="E59" s="115"/>
      <c r="F59" s="115"/>
      <c r="G59" s="115"/>
      <c r="H59" s="132"/>
    </row>
    <row r="60" ht="15.75" customHeight="1">
      <c r="A60" s="114"/>
      <c r="B60" s="115"/>
      <c r="C60" s="115"/>
      <c r="D60" s="115"/>
      <c r="E60" s="115"/>
      <c r="F60" s="115"/>
      <c r="G60" s="115"/>
      <c r="H60" s="132" t="s">
        <v>96</v>
      </c>
    </row>
    <row r="61" ht="15.75" customHeight="1">
      <c r="A61" s="114"/>
      <c r="B61" s="115"/>
      <c r="C61" s="115"/>
      <c r="D61" s="115"/>
      <c r="E61" s="115"/>
      <c r="F61" s="115"/>
      <c r="G61" s="115"/>
      <c r="H61" s="115"/>
    </row>
  </sheetData>
  <mergeCells count="1">
    <mergeCell ref="F42:G45"/>
  </mergeCells>
  <conditionalFormatting sqref="G27">
    <cfRule type="expression" dxfId="10" priority="1">
      <formula>and(G7="x",G27="")</formula>
    </cfRule>
  </conditionalFormatting>
  <conditionalFormatting sqref="G21">
    <cfRule type="expression" dxfId="19" priority="2">
      <formula>and(G21="",G27="x")</formula>
    </cfRule>
  </conditionalFormatting>
  <conditionalFormatting sqref="C9">
    <cfRule type="expression" dxfId="0" priority="3">
      <formula>G6="x"</formula>
    </cfRule>
  </conditionalFormatting>
  <conditionalFormatting sqref="D9">
    <cfRule type="expression" dxfId="0" priority="4">
      <formula>G6="x"</formula>
    </cfRule>
  </conditionalFormatting>
  <conditionalFormatting sqref="G4">
    <cfRule type="expression" dxfId="10" priority="5">
      <formula>and(G4="",G28="x")</formula>
    </cfRule>
  </conditionalFormatting>
  <conditionalFormatting sqref="G6">
    <cfRule type="expression" dxfId="20" priority="6">
      <formula>and(G6="",G9="x")</formula>
    </cfRule>
  </conditionalFormatting>
  <conditionalFormatting sqref="G11">
    <cfRule type="expression" dxfId="21" priority="7">
      <formula>and(G11="x",G12="x")</formula>
    </cfRule>
  </conditionalFormatting>
  <conditionalFormatting sqref="G12">
    <cfRule type="expression" dxfId="21" priority="8">
      <formula>and(G11="x",G12="x")</formula>
    </cfRule>
  </conditionalFormatting>
  <conditionalFormatting sqref="C11">
    <cfRule type="expression" dxfId="0" priority="9">
      <formula>G16="x"</formula>
    </cfRule>
  </conditionalFormatting>
  <conditionalFormatting sqref="D11">
    <cfRule type="expression" dxfId="0" priority="10">
      <formula>G16="x"</formula>
    </cfRule>
  </conditionalFormatting>
  <conditionalFormatting sqref="C23">
    <cfRule type="expression" dxfId="0" priority="11">
      <formula>G16="x"</formula>
    </cfRule>
  </conditionalFormatting>
  <conditionalFormatting sqref="D23">
    <cfRule type="expression" dxfId="0" priority="12">
      <formula>G16="x"</formula>
    </cfRule>
  </conditionalFormatting>
  <conditionalFormatting sqref="D12">
    <cfRule type="expression" dxfId="6" priority="13">
      <formula>G16="x"</formula>
    </cfRule>
  </conditionalFormatting>
  <conditionalFormatting sqref="C12">
    <cfRule type="expression" dxfId="6" priority="14">
      <formula>G16="x"</formula>
    </cfRule>
  </conditionalFormatting>
  <conditionalFormatting sqref="G26">
    <cfRule type="expression" dxfId="20" priority="15">
      <formula>AND(G16="x",G26="",G35="",G36="")</formula>
    </cfRule>
  </conditionalFormatting>
  <conditionalFormatting sqref="G35">
    <cfRule type="expression" dxfId="20" priority="16">
      <formula>AND(G16="x",G26="",G35="",G36="")</formula>
    </cfRule>
  </conditionalFormatting>
  <conditionalFormatting sqref="G36">
    <cfRule type="expression" dxfId="20" priority="17">
      <formula>AND(G16="x",G26="",G35="",G36="")</formula>
    </cfRule>
  </conditionalFormatting>
  <conditionalFormatting sqref="G11">
    <cfRule type="expression" dxfId="21" priority="18">
      <formula>and(G18="x",G11="",G12="")</formula>
    </cfRule>
  </conditionalFormatting>
  <conditionalFormatting sqref="G12">
    <cfRule type="expression" dxfId="21" priority="19">
      <formula>and(G18="x",G11="",G12="")</formula>
    </cfRule>
  </conditionalFormatting>
  <conditionalFormatting sqref="G6">
    <cfRule type="expression" dxfId="10" priority="20">
      <formula>and(G6="",G19="x")</formula>
    </cfRule>
  </conditionalFormatting>
  <conditionalFormatting sqref="G21">
    <cfRule type="expression" dxfId="10" priority="21">
      <formula>and(G21="",G19="x")</formula>
    </cfRule>
  </conditionalFormatting>
  <conditionalFormatting sqref="G4">
    <cfRule type="expression" dxfId="10" priority="22">
      <formula>and(G25="x",G4="")</formula>
    </cfRule>
  </conditionalFormatting>
  <conditionalFormatting sqref="C4:D38">
    <cfRule type="cellIs" dxfId="0" priority="23" operator="equal">
      <formula>0</formula>
    </cfRule>
  </conditionalFormatting>
  <conditionalFormatting sqref="G36">
    <cfRule type="expression" dxfId="21" priority="24">
      <formula>or(G26="x",G35="x")</formula>
    </cfRule>
  </conditionalFormatting>
  <conditionalFormatting sqref="G35">
    <cfRule type="expression" dxfId="21" priority="25">
      <formula>or(G26="x",G36="x")</formula>
    </cfRule>
  </conditionalFormatting>
  <conditionalFormatting sqref="G26">
    <cfRule type="expression" dxfId="21" priority="26">
      <formula>or(G36="x",G35="x")</formula>
    </cfRule>
  </conditionalFormatting>
  <conditionalFormatting sqref="G23">
    <cfRule type="expression" dxfId="10" priority="27">
      <formula>and(G30="x",G23="")</formula>
    </cfRule>
  </conditionalFormatting>
  <conditionalFormatting sqref="G6">
    <cfRule type="expression" dxfId="10" priority="28">
      <formula>and(G6="",G33="x")</formula>
    </cfRule>
  </conditionalFormatting>
  <conditionalFormatting sqref="G29">
    <cfRule type="expression" dxfId="21" priority="29">
      <formula>and(#REF!="x",G29="x")</formula>
    </cfRule>
  </conditionalFormatting>
  <conditionalFormatting sqref="B4:B38">
    <cfRule type="expression" dxfId="8" priority="30">
      <formula>G4:G38="x"</formula>
    </cfRule>
  </conditionalFormatting>
  <conditionalFormatting sqref="H4:H38">
    <cfRule type="containsText" dxfId="5" priority="31" operator="containsText" text="Only">
      <formula>NOT(ISERROR(SEARCH(("Only"),(H4))))</formula>
    </cfRule>
  </conditionalFormatting>
  <conditionalFormatting sqref="H4:H38">
    <cfRule type="containsText" dxfId="5" priority="32" operator="containsText" text="Require">
      <formula>NOT(ISERROR(SEARCH(("Require"),(H4))))</formula>
    </cfRule>
  </conditionalFormatting>
  <conditionalFormatting sqref="H4:H38">
    <cfRule type="containsText" dxfId="5" priority="33" operator="containsText" text="N/A">
      <formula>NOT(ISERROR(SEARCH(("N/A"),(H4))))</formula>
    </cfRule>
  </conditionalFormatting>
  <conditionalFormatting sqref="H4:H38">
    <cfRule type="containsText" dxfId="0" priority="34" operator="containsText" text="Include">
      <formula>NOT(ISERROR(SEARCH(("Include"),(H4))))</formula>
    </cfRule>
  </conditionalFormatting>
  <conditionalFormatting sqref="H4:H38">
    <cfRule type="containsText" dxfId="6" priority="35" operator="containsText" text="Reduce">
      <formula>NOT(ISERROR(SEARCH(("Reduce"),(H4))))</formula>
    </cfRule>
  </conditionalFormatting>
  <conditionalFormatting sqref="G9">
    <cfRule type="expression" dxfId="0" priority="36">
      <formula>and(G6="x",G9="")</formula>
    </cfRule>
  </conditionalFormatting>
  <conditionalFormatting sqref="G25">
    <cfRule type="expression" dxfId="0" priority="37">
      <formula>and(G15="x",G25="")</formula>
    </cfRule>
  </conditionalFormatting>
  <conditionalFormatting sqref="E4:E38">
    <cfRule type="expression" dxfId="8" priority="38">
      <formula>G4:G38="x"</formula>
    </cfRule>
  </conditionalFormatting>
  <conditionalFormatting sqref="F4:F38">
    <cfRule type="expression" dxfId="8" priority="39">
      <formula>G4:G38="x"</formula>
    </cfRule>
  </conditionalFormatting>
  <conditionalFormatting sqref="E4:F38">
    <cfRule type="cellIs" dxfId="1" priority="40" operator="equal">
      <formula>0</formula>
    </cfRule>
  </conditionalFormatting>
  <dataValidations>
    <dataValidation type="list" allowBlank="1" sqref="C44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9.29"/>
    <col customWidth="1" min="2" max="2" width="40.0"/>
    <col customWidth="1" min="3" max="4" width="11.29"/>
    <col customWidth="1" min="5" max="5" width="18.71"/>
    <col customWidth="1" min="6" max="6" width="16.71"/>
    <col customWidth="1" min="7" max="7" width="11.14"/>
    <col customWidth="1" min="8" max="8" width="61.29"/>
  </cols>
  <sheetData>
    <row r="1" ht="15.75" customHeight="1">
      <c r="A1" s="187"/>
      <c r="B1" s="187" t="s">
        <v>19</v>
      </c>
      <c r="C1" s="187"/>
      <c r="D1" s="187"/>
      <c r="E1" s="187"/>
      <c r="F1" s="187"/>
      <c r="G1" s="187"/>
      <c r="H1" s="28" t="s">
        <v>13</v>
      </c>
    </row>
    <row r="2" ht="15.75" customHeight="1">
      <c r="A2" s="188" t="s">
        <v>109</v>
      </c>
      <c r="B2" s="189" t="s">
        <v>21</v>
      </c>
      <c r="C2" s="190" t="s">
        <v>193</v>
      </c>
      <c r="D2" s="190" t="s">
        <v>23</v>
      </c>
      <c r="E2" s="190" t="s">
        <v>24</v>
      </c>
      <c r="F2" s="190" t="s">
        <v>25</v>
      </c>
      <c r="G2" s="230" t="s">
        <v>26</v>
      </c>
      <c r="H2" s="191" t="s">
        <v>235</v>
      </c>
    </row>
    <row r="3">
      <c r="A3" s="192" t="s">
        <v>236</v>
      </c>
      <c r="B3" s="193" t="s">
        <v>237</v>
      </c>
      <c r="C3" s="194">
        <v>41913.0</v>
      </c>
      <c r="D3" s="194">
        <v>43895.0</v>
      </c>
      <c r="E3" s="195">
        <f t="shared" ref="E3:E29" si="1">IF(G3="x",C3,0)</f>
        <v>41913</v>
      </c>
      <c r="F3" s="195">
        <f t="shared" ref="F3:F29" si="2">IF(G3="x",D3,0)</f>
        <v>43895</v>
      </c>
      <c r="G3" s="196" t="s">
        <v>30</v>
      </c>
      <c r="H3" s="197" t="s">
        <v>31</v>
      </c>
    </row>
    <row r="4">
      <c r="A4" s="198" t="s">
        <v>32</v>
      </c>
      <c r="B4" s="199" t="s">
        <v>33</v>
      </c>
      <c r="C4" s="53">
        <v>1800.0</v>
      </c>
      <c r="D4" s="200">
        <v>2000.0</v>
      </c>
      <c r="E4" s="201">
        <f t="shared" si="1"/>
        <v>1800</v>
      </c>
      <c r="F4" s="201">
        <f t="shared" si="2"/>
        <v>2000</v>
      </c>
      <c r="G4" s="202" t="s">
        <v>30</v>
      </c>
      <c r="H4" s="231"/>
    </row>
    <row r="5">
      <c r="A5" s="39" t="s">
        <v>34</v>
      </c>
      <c r="B5" s="40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232" t="str">
        <f>if(and(G5="x",G12=""),"Requires V6 Turbo","")</f>
        <v/>
      </c>
    </row>
    <row r="6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232" t="str">
        <f>if(and(G6="x",G8=""),"Requires DFV 8-Speed Transmission","")</f>
        <v/>
      </c>
    </row>
    <row r="7">
      <c r="A7" s="198" t="s">
        <v>238</v>
      </c>
      <c r="B7" s="199" t="s">
        <v>239</v>
      </c>
      <c r="C7" s="53">
        <v>896.0</v>
      </c>
      <c r="D7" s="200">
        <v>995.0</v>
      </c>
      <c r="E7" s="201">
        <f t="shared" si="1"/>
        <v>0</v>
      </c>
      <c r="F7" s="201">
        <f t="shared" si="2"/>
        <v>0</v>
      </c>
      <c r="G7" s="202"/>
      <c r="H7" s="233"/>
    </row>
    <row r="8">
      <c r="A8" s="198" t="s">
        <v>240</v>
      </c>
      <c r="B8" s="199" t="s">
        <v>241</v>
      </c>
      <c r="C8" s="53">
        <v>626.0</v>
      </c>
      <c r="D8" s="53">
        <v>695.0</v>
      </c>
      <c r="E8" s="201">
        <f t="shared" si="1"/>
        <v>0</v>
      </c>
      <c r="F8" s="201">
        <f t="shared" si="2"/>
        <v>0</v>
      </c>
      <c r="G8" s="202"/>
      <c r="H8" s="208" t="str">
        <f>if(and(G8="x",G4=""),"Requires 8-Spd Automatic 850RE Transmission (DFT)",if(G6="x", "N/A w/ Diesel or Manual Transmission",""))</f>
        <v/>
      </c>
    </row>
    <row r="9">
      <c r="A9" s="198" t="s">
        <v>114</v>
      </c>
      <c r="B9" s="199" t="s">
        <v>199</v>
      </c>
      <c r="C9" s="53">
        <v>1706.0</v>
      </c>
      <c r="D9" s="53">
        <v>1895.0</v>
      </c>
      <c r="E9" s="201">
        <f t="shared" si="1"/>
        <v>0</v>
      </c>
      <c r="F9" s="201">
        <f t="shared" si="2"/>
        <v>0</v>
      </c>
      <c r="G9" s="202"/>
      <c r="H9" s="233"/>
    </row>
    <row r="10">
      <c r="A10" s="198" t="s">
        <v>116</v>
      </c>
      <c r="B10" s="199" t="s">
        <v>117</v>
      </c>
      <c r="C10" s="53">
        <v>716.0</v>
      </c>
      <c r="D10" s="200">
        <v>795.0</v>
      </c>
      <c r="E10" s="201">
        <f t="shared" si="1"/>
        <v>0</v>
      </c>
      <c r="F10" s="201">
        <f t="shared" si="2"/>
        <v>0</v>
      </c>
      <c r="G10" s="202"/>
      <c r="H10" s="208" t="str">
        <f>if(and(G10="x",G30=""),"Requires Safety Group (AJ1)","")</f>
        <v/>
      </c>
    </row>
    <row r="11" ht="15.75" customHeight="1">
      <c r="A11" s="198" t="s">
        <v>38</v>
      </c>
      <c r="B11" s="199" t="s">
        <v>118</v>
      </c>
      <c r="C11" s="53">
        <v>149.0</v>
      </c>
      <c r="D11" s="53">
        <v>165.0</v>
      </c>
      <c r="E11" s="201">
        <f t="shared" si="1"/>
        <v>149</v>
      </c>
      <c r="F11" s="201">
        <f t="shared" si="2"/>
        <v>165</v>
      </c>
      <c r="G11" s="202" t="s">
        <v>30</v>
      </c>
      <c r="H11" s="233"/>
    </row>
    <row r="12" ht="15.75" customHeight="1">
      <c r="A12" s="198" t="s">
        <v>119</v>
      </c>
      <c r="B12" s="199" t="s">
        <v>120</v>
      </c>
      <c r="C12" s="205">
        <f>if(G9="x",0,1166)</f>
        <v>1166</v>
      </c>
      <c r="D12" s="205">
        <f>if(G9="x",0,1295)</f>
        <v>1295</v>
      </c>
      <c r="E12" s="201">
        <f t="shared" si="1"/>
        <v>0</v>
      </c>
      <c r="F12" s="201">
        <f t="shared" si="2"/>
        <v>0</v>
      </c>
      <c r="G12" s="202"/>
      <c r="H12" s="208" t="str">
        <f>if(G9="x","Included w/ Premium Audio Group (AEK)","")</f>
        <v/>
      </c>
    </row>
    <row r="13">
      <c r="A13" s="198" t="s">
        <v>42</v>
      </c>
      <c r="B13" s="199" t="s">
        <v>122</v>
      </c>
      <c r="C13" s="53">
        <v>266.0</v>
      </c>
      <c r="D13" s="200">
        <v>295.0</v>
      </c>
      <c r="E13" s="201">
        <f t="shared" si="1"/>
        <v>266</v>
      </c>
      <c r="F13" s="201">
        <f t="shared" si="2"/>
        <v>295</v>
      </c>
      <c r="G13" s="202" t="s">
        <v>30</v>
      </c>
      <c r="H13" s="233"/>
    </row>
    <row r="14">
      <c r="A14" s="198" t="s">
        <v>44</v>
      </c>
      <c r="B14" s="199" t="s">
        <v>200</v>
      </c>
      <c r="C14" s="205">
        <f>if(G19="x",0,1256)</f>
        <v>1256</v>
      </c>
      <c r="D14" s="205">
        <f>if(G19="x",0,1395)</f>
        <v>1395</v>
      </c>
      <c r="E14" s="201">
        <f t="shared" si="1"/>
        <v>0</v>
      </c>
      <c r="F14" s="201">
        <f t="shared" si="2"/>
        <v>0</v>
      </c>
      <c r="G14" s="202"/>
      <c r="H14" s="208" t="str">
        <f>if(and(G14="",G19="x"),"Included with Dual Top Group (AEN)",if(and(G14="x",G15="x"),"Only 1; Black Hard-Top (HT1) or Body Color Hard-Top (HT3)",""))</f>
        <v/>
      </c>
    </row>
    <row r="15">
      <c r="A15" s="198" t="s">
        <v>201</v>
      </c>
      <c r="B15" s="199" t="s">
        <v>202</v>
      </c>
      <c r="C15" s="205">
        <f>if(G19="x",1080,2156)</f>
        <v>2156</v>
      </c>
      <c r="D15" s="205">
        <f>if(G19="x",1200,2395)</f>
        <v>2395</v>
      </c>
      <c r="E15" s="201">
        <f t="shared" si="1"/>
        <v>2156</v>
      </c>
      <c r="F15" s="201">
        <f t="shared" si="2"/>
        <v>2395</v>
      </c>
      <c r="G15" s="202" t="s">
        <v>30</v>
      </c>
      <c r="H15" s="234" t="str">
        <f>if(and(G14="",G19="x"),"Price Reduced with Dual Top Group (AEN)",if(and(G14="x",G15="x"),"Only 1; Black Hard-Top (HT1) or Body Color Hard-Top (HT3)",""))</f>
        <v/>
      </c>
    </row>
    <row r="16" ht="15.75" customHeight="1">
      <c r="A16" s="198" t="s">
        <v>203</v>
      </c>
      <c r="B16" s="199" t="s">
        <v>204</v>
      </c>
      <c r="C16" s="53">
        <v>626.0</v>
      </c>
      <c r="D16" s="53">
        <v>695.0</v>
      </c>
      <c r="E16" s="201">
        <f t="shared" si="1"/>
        <v>0</v>
      </c>
      <c r="F16" s="201">
        <f t="shared" si="2"/>
        <v>0</v>
      </c>
      <c r="G16" s="202"/>
      <c r="H16" s="233"/>
    </row>
    <row r="17">
      <c r="A17" s="198" t="s">
        <v>124</v>
      </c>
      <c r="B17" s="199" t="s">
        <v>205</v>
      </c>
      <c r="C17" s="53">
        <v>806.0</v>
      </c>
      <c r="D17" s="200">
        <v>895.0</v>
      </c>
      <c r="E17" s="201">
        <f t="shared" si="1"/>
        <v>0</v>
      </c>
      <c r="F17" s="201">
        <f t="shared" si="2"/>
        <v>0</v>
      </c>
      <c r="G17" s="202"/>
      <c r="H17" s="233"/>
    </row>
    <row r="18">
      <c r="A18" s="198" t="s">
        <v>126</v>
      </c>
      <c r="B18" s="199" t="s">
        <v>127</v>
      </c>
      <c r="C18" s="205">
        <f>if(or(G4="x",G5="x"),896,626)</f>
        <v>896</v>
      </c>
      <c r="D18" s="205">
        <f>if(or(G4="x",G5="x"),995,695)</f>
        <v>995</v>
      </c>
      <c r="E18" s="201">
        <f t="shared" si="1"/>
        <v>896</v>
      </c>
      <c r="F18" s="201">
        <f t="shared" si="2"/>
        <v>995</v>
      </c>
      <c r="G18" s="202" t="s">
        <v>30</v>
      </c>
      <c r="H18" s="235"/>
    </row>
    <row r="19">
      <c r="A19" s="198" t="s">
        <v>130</v>
      </c>
      <c r="B19" s="199" t="s">
        <v>131</v>
      </c>
      <c r="C19" s="53">
        <v>2156.0</v>
      </c>
      <c r="D19" s="53">
        <v>2395.0</v>
      </c>
      <c r="E19" s="201">
        <f t="shared" si="1"/>
        <v>0</v>
      </c>
      <c r="F19" s="201">
        <f t="shared" si="2"/>
        <v>0</v>
      </c>
      <c r="G19" s="202"/>
      <c r="H19" s="236" t="str">
        <f>if(and(G19="x",G29="",G38="",G39=""),"Requires Tonneau option; Roll-Up (CSD), Hard Tri-Fold (CSU) or Soft Tri-Fold (CT6)","")</f>
        <v/>
      </c>
    </row>
    <row r="20">
      <c r="A20" s="198" t="s">
        <v>48</v>
      </c>
      <c r="B20" s="199" t="s">
        <v>49</v>
      </c>
      <c r="C20" s="53">
        <v>86.0</v>
      </c>
      <c r="D20" s="200">
        <v>95.0</v>
      </c>
      <c r="E20" s="201">
        <f t="shared" si="1"/>
        <v>0</v>
      </c>
      <c r="F20" s="201">
        <f t="shared" si="2"/>
        <v>0</v>
      </c>
      <c r="G20" s="202"/>
      <c r="H20" s="231"/>
    </row>
    <row r="21" ht="15.75" customHeight="1">
      <c r="A21" s="198" t="s">
        <v>134</v>
      </c>
      <c r="B21" s="199" t="s">
        <v>135</v>
      </c>
      <c r="C21" s="53">
        <v>500.0</v>
      </c>
      <c r="D21" s="200">
        <v>555.0</v>
      </c>
      <c r="E21" s="201">
        <f t="shared" si="1"/>
        <v>0</v>
      </c>
      <c r="F21" s="201">
        <f t="shared" si="2"/>
        <v>0</v>
      </c>
      <c r="G21" s="202"/>
      <c r="H21" s="208" t="str">
        <f>if(and(G21="x",G14="",G15=""),"Requires Black Hard-Top (HT1) or Body Color Hard-Top (HT3)","")</f>
        <v/>
      </c>
    </row>
    <row r="22" ht="15.75" customHeight="1">
      <c r="A22" s="198" t="s">
        <v>206</v>
      </c>
      <c r="B22" s="199" t="s">
        <v>207</v>
      </c>
      <c r="C22" s="53">
        <v>536.0</v>
      </c>
      <c r="D22" s="200">
        <v>595.0</v>
      </c>
      <c r="E22" s="201">
        <f t="shared" si="1"/>
        <v>0</v>
      </c>
      <c r="F22" s="201">
        <f t="shared" si="2"/>
        <v>0</v>
      </c>
      <c r="G22" s="202"/>
      <c r="H22" s="208" t="str">
        <f>if(and(G22="x",or(G9="",G24="")),"Requires LED Lighting Group (AD6) and 8.4 Radio (AEK)","")</f>
        <v/>
      </c>
    </row>
    <row r="23">
      <c r="A23" s="39" t="s">
        <v>50</v>
      </c>
      <c r="B23" s="148" t="s">
        <v>51</v>
      </c>
      <c r="C23" s="41">
        <v>180.0</v>
      </c>
      <c r="D23" s="41">
        <v>200.0</v>
      </c>
      <c r="E23" s="43">
        <f t="shared" si="1"/>
        <v>0</v>
      </c>
      <c r="F23" s="43">
        <f t="shared" si="2"/>
        <v>0</v>
      </c>
      <c r="G23" s="44"/>
      <c r="H23" s="237"/>
    </row>
    <row r="24">
      <c r="A24" s="198" t="s">
        <v>208</v>
      </c>
      <c r="B24" s="199" t="s">
        <v>209</v>
      </c>
      <c r="C24" s="53">
        <v>1166.0</v>
      </c>
      <c r="D24" s="53">
        <v>1295.0</v>
      </c>
      <c r="E24" s="201">
        <f t="shared" si="1"/>
        <v>0</v>
      </c>
      <c r="F24" s="201">
        <f t="shared" si="2"/>
        <v>0</v>
      </c>
      <c r="G24" s="202"/>
      <c r="H24" s="233"/>
    </row>
    <row r="25">
      <c r="A25" s="198" t="s">
        <v>210</v>
      </c>
      <c r="B25" s="199" t="s">
        <v>211</v>
      </c>
      <c r="C25" s="200">
        <v>0.0</v>
      </c>
      <c r="D25" s="200">
        <v>0.0</v>
      </c>
      <c r="E25" s="201">
        <f t="shared" si="1"/>
        <v>0</v>
      </c>
      <c r="F25" s="201">
        <f t="shared" si="2"/>
        <v>0</v>
      </c>
      <c r="G25" s="202" t="s">
        <v>30</v>
      </c>
      <c r="H25" s="233"/>
    </row>
    <row r="26" ht="15.75" customHeight="1">
      <c r="A26" s="198" t="s">
        <v>138</v>
      </c>
      <c r="B26" s="199" t="s">
        <v>139</v>
      </c>
      <c r="C26" s="205">
        <f>if(G19="x",0,536)</f>
        <v>536</v>
      </c>
      <c r="D26" s="205">
        <f>if(G19="x",0,595)</f>
        <v>595</v>
      </c>
      <c r="E26" s="201">
        <f t="shared" si="1"/>
        <v>0</v>
      </c>
      <c r="F26" s="201">
        <f t="shared" si="2"/>
        <v>0</v>
      </c>
      <c r="G26" s="202"/>
      <c r="H26" s="208" t="str">
        <f>if(and(G26="",G19="x"),"Included w/ Dual Top Group (AEN)", if(and(G26="x",G19="",or(G14="x",G15="x")),"N/A w/ Black Hard-Top (HT1) or Body Color Hard-Top (HT3)",""))</f>
        <v/>
      </c>
    </row>
    <row r="27" ht="15.75" customHeight="1">
      <c r="A27" s="198" t="s">
        <v>212</v>
      </c>
      <c r="B27" s="199" t="s">
        <v>213</v>
      </c>
      <c r="C27" s="53">
        <v>490.0</v>
      </c>
      <c r="D27" s="53">
        <v>545.0</v>
      </c>
      <c r="E27" s="201">
        <f t="shared" si="1"/>
        <v>0</v>
      </c>
      <c r="F27" s="201">
        <f t="shared" si="2"/>
        <v>0</v>
      </c>
      <c r="G27" s="202"/>
      <c r="H27" s="233"/>
    </row>
    <row r="28" ht="15.75" customHeight="1">
      <c r="A28" s="198" t="s">
        <v>214</v>
      </c>
      <c r="B28" s="199" t="s">
        <v>215</v>
      </c>
      <c r="C28" s="205">
        <f>if(G18="x",0,446)</f>
        <v>0</v>
      </c>
      <c r="D28" s="205">
        <f>if(G18="x",0,495)</f>
        <v>0</v>
      </c>
      <c r="E28" s="201">
        <f t="shared" si="1"/>
        <v>0</v>
      </c>
      <c r="F28" s="201">
        <f t="shared" si="2"/>
        <v>0</v>
      </c>
      <c r="G28" s="202" t="s">
        <v>30</v>
      </c>
      <c r="H28" s="208" t="str">
        <f>if(and(G28="x",G4="",G5=""),"Requires Automatic Transmission (DFT) or (DFV)",if(G18="x","Included w/ Cold Weather Group (ADE)", ""))</f>
        <v>Included w/ Cold Weather Group (ADE)</v>
      </c>
    </row>
    <row r="29" ht="15.75" customHeight="1">
      <c r="A29" s="198" t="s">
        <v>54</v>
      </c>
      <c r="B29" s="199" t="s">
        <v>55</v>
      </c>
      <c r="C29" s="53">
        <v>536.0</v>
      </c>
      <c r="D29" s="53">
        <v>595.0</v>
      </c>
      <c r="E29" s="201">
        <f t="shared" si="1"/>
        <v>0</v>
      </c>
      <c r="F29" s="201">
        <f t="shared" si="2"/>
        <v>0</v>
      </c>
      <c r="G29" s="202"/>
      <c r="H29" s="237" t="str">
        <f>if(and(G29="x",or(G38="x",G39="x")),"N/A w/ Hard Tri-Fold (CSU) or Soft Tri-Fold (CT6) Tonneau","")</f>
        <v/>
      </c>
    </row>
    <row r="30">
      <c r="A30" s="198" t="s">
        <v>140</v>
      </c>
      <c r="B30" s="199" t="s">
        <v>141</v>
      </c>
      <c r="C30" s="205">
        <f>if(G24="X",806,896)</f>
        <v>896</v>
      </c>
      <c r="D30" s="205">
        <f>if(G24="X",895,995)</f>
        <v>995</v>
      </c>
      <c r="E30" s="201">
        <f>IF(G30="x",C30,0)</f>
        <v>0</v>
      </c>
      <c r="F30" s="201">
        <f>IF(G30="x",D30,0)</f>
        <v>0</v>
      </c>
      <c r="G30" s="202"/>
      <c r="H30" s="235" t="str">
        <f>if(and(G30="x",G24=""),"Price Reduced with LED Lighting GroupAD6","")</f>
        <v/>
      </c>
    </row>
    <row r="31">
      <c r="A31" s="198" t="s">
        <v>58</v>
      </c>
      <c r="B31" s="199" t="s">
        <v>216</v>
      </c>
      <c r="C31" s="200">
        <v>27.0</v>
      </c>
      <c r="D31" s="200">
        <v>30.0</v>
      </c>
      <c r="E31" s="201">
        <f t="shared" ref="E31:E40" si="3">IF(G31="x",C31,0)</f>
        <v>0</v>
      </c>
      <c r="F31" s="201">
        <f t="shared" ref="F31:F40" si="4">IF(G31="x",D31,0)</f>
        <v>0</v>
      </c>
      <c r="G31" s="202"/>
      <c r="H31" s="208"/>
    </row>
    <row r="32" ht="15.75" customHeight="1">
      <c r="A32" s="198" t="s">
        <v>60</v>
      </c>
      <c r="B32" s="199" t="s">
        <v>61</v>
      </c>
      <c r="C32" s="53">
        <v>68.0</v>
      </c>
      <c r="D32" s="200">
        <v>75.0</v>
      </c>
      <c r="E32" s="201">
        <f t="shared" si="3"/>
        <v>0</v>
      </c>
      <c r="F32" s="201">
        <f t="shared" si="4"/>
        <v>0</v>
      </c>
      <c r="G32" s="202"/>
      <c r="H32" s="208" t="str">
        <f>if(and(G32="x",G26=""),"Requires Soft Top (STB)","")</f>
        <v/>
      </c>
    </row>
    <row r="33" ht="15.75" customHeight="1">
      <c r="A33" s="198" t="s">
        <v>62</v>
      </c>
      <c r="B33" s="199" t="s">
        <v>63</v>
      </c>
      <c r="C33" s="53">
        <v>446.0</v>
      </c>
      <c r="D33" s="200">
        <v>495.0</v>
      </c>
      <c r="E33" s="201">
        <f t="shared" si="3"/>
        <v>446</v>
      </c>
      <c r="F33" s="201">
        <f t="shared" si="4"/>
        <v>495</v>
      </c>
      <c r="G33" s="202" t="s">
        <v>30</v>
      </c>
      <c r="H33" s="233"/>
    </row>
    <row r="34">
      <c r="A34" s="198" t="s">
        <v>242</v>
      </c>
      <c r="B34" s="199" t="s">
        <v>243</v>
      </c>
      <c r="C34" s="53">
        <v>760.0</v>
      </c>
      <c r="D34" s="53">
        <v>845.0</v>
      </c>
      <c r="E34" s="201">
        <f t="shared" si="3"/>
        <v>0</v>
      </c>
      <c r="F34" s="201">
        <f t="shared" si="4"/>
        <v>0</v>
      </c>
      <c r="G34" s="202"/>
      <c r="H34" s="208" t="str">
        <f>if(and(G34="x",G24=""),"Requires LED Lighting Group (AD6)","")</f>
        <v/>
      </c>
    </row>
    <row r="35" ht="15.75" customHeight="1">
      <c r="A35" s="198" t="s">
        <v>64</v>
      </c>
      <c r="B35" s="199" t="s">
        <v>149</v>
      </c>
      <c r="C35" s="53">
        <v>316.0</v>
      </c>
      <c r="D35" s="53">
        <v>350.0</v>
      </c>
      <c r="E35" s="201">
        <f t="shared" si="3"/>
        <v>316</v>
      </c>
      <c r="F35" s="201">
        <f t="shared" si="4"/>
        <v>350</v>
      </c>
      <c r="G35" s="202" t="s">
        <v>30</v>
      </c>
      <c r="H35" s="233"/>
    </row>
    <row r="36" ht="15.75" customHeight="1">
      <c r="A36" s="198" t="s">
        <v>150</v>
      </c>
      <c r="B36" s="199" t="s">
        <v>151</v>
      </c>
      <c r="C36" s="53">
        <v>266.0</v>
      </c>
      <c r="D36" s="200">
        <v>295.0</v>
      </c>
      <c r="E36" s="201">
        <f t="shared" si="3"/>
        <v>0</v>
      </c>
      <c r="F36" s="201">
        <f t="shared" si="4"/>
        <v>0</v>
      </c>
      <c r="G36" s="202"/>
      <c r="H36" s="208" t="str">
        <f>if(and(G36="x",G12=""),"Requires Alpine Audio System (RC4)","")</f>
        <v/>
      </c>
    </row>
    <row r="37" ht="15.75" customHeight="1">
      <c r="A37" s="198" t="s">
        <v>244</v>
      </c>
      <c r="B37" s="199" t="s">
        <v>218</v>
      </c>
      <c r="C37" s="53">
        <v>1436.0</v>
      </c>
      <c r="D37" s="53">
        <v>1595.0</v>
      </c>
      <c r="E37" s="201">
        <f t="shared" si="3"/>
        <v>0</v>
      </c>
      <c r="F37" s="201">
        <f t="shared" si="4"/>
        <v>0</v>
      </c>
      <c r="G37" s="202"/>
      <c r="H37" s="238"/>
    </row>
    <row r="38" ht="15.75" customHeight="1">
      <c r="A38" s="198" t="s">
        <v>66</v>
      </c>
      <c r="B38" s="199" t="s">
        <v>67</v>
      </c>
      <c r="C38" s="53">
        <v>896.0</v>
      </c>
      <c r="D38" s="53">
        <v>995.0</v>
      </c>
      <c r="E38" s="201">
        <f t="shared" si="3"/>
        <v>0</v>
      </c>
      <c r="F38" s="201">
        <f t="shared" si="4"/>
        <v>0</v>
      </c>
      <c r="G38" s="202"/>
      <c r="H38" s="237" t="str">
        <f>if(AND(G38="x",or(G29="x",G39="x")),"N/A with Roll-Up (CSD) or Soft Tri-fold (CT6) Tonneau","")</f>
        <v/>
      </c>
    </row>
    <row r="39" ht="15.75" customHeight="1">
      <c r="A39" s="198" t="s">
        <v>68</v>
      </c>
      <c r="B39" s="199" t="s">
        <v>69</v>
      </c>
      <c r="C39" s="53">
        <v>563.0</v>
      </c>
      <c r="D39" s="53">
        <v>625.0</v>
      </c>
      <c r="E39" s="201">
        <f t="shared" si="3"/>
        <v>0</v>
      </c>
      <c r="F39" s="201">
        <f t="shared" si="4"/>
        <v>0</v>
      </c>
      <c r="G39" s="210"/>
      <c r="H39" s="239" t="str">
        <f>if(AND(G39="x",or(G29="x",G38="x")),"N/A with Roll-Up (CSD) or Hard Tri-fold (CSU) Tonneau","")</f>
        <v/>
      </c>
    </row>
    <row r="40">
      <c r="A40" s="198"/>
      <c r="B40" s="40" t="s">
        <v>70</v>
      </c>
      <c r="C40" s="41">
        <v>220.0</v>
      </c>
      <c r="D40" s="41">
        <v>245.0</v>
      </c>
      <c r="E40" s="201">
        <f t="shared" si="3"/>
        <v>220</v>
      </c>
      <c r="F40" s="211">
        <f t="shared" si="4"/>
        <v>245</v>
      </c>
      <c r="G40" s="150" t="s">
        <v>30</v>
      </c>
      <c r="H40" s="57" t="s">
        <v>71</v>
      </c>
    </row>
    <row r="41" ht="15.75" customHeight="1">
      <c r="A41" s="212"/>
      <c r="B41" s="240" t="str">
        <f>'Mopar Add-Ons'!B24</f>
        <v>Total Mopar Add-On Cost</v>
      </c>
      <c r="C41" s="213"/>
      <c r="D41" s="213"/>
      <c r="E41" s="214">
        <f>'Mopar Add-Ons'!E24</f>
        <v>0</v>
      </c>
      <c r="F41" s="241">
        <f>'Mopar Add-Ons'!F24</f>
        <v>0</v>
      </c>
      <c r="G41" s="242"/>
      <c r="H41" s="64" t="str">
        <f>'Mopar Add-Ons'!H24</f>
        <v>Price pulled from sheet "Mopar Add-Ons"</v>
      </c>
    </row>
    <row r="42" ht="15.75" customHeight="1">
      <c r="A42" s="220"/>
      <c r="B42" s="243" t="s">
        <v>72</v>
      </c>
      <c r="C42" s="243"/>
      <c r="D42" s="243"/>
      <c r="E42" s="244">
        <f t="shared" ref="E42:F42" si="5">SUM(E3:E41)</f>
        <v>48162</v>
      </c>
      <c r="F42" s="245">
        <f t="shared" si="5"/>
        <v>50835</v>
      </c>
      <c r="G42" s="246"/>
      <c r="H42" s="238"/>
    </row>
    <row r="43">
      <c r="A43" s="72"/>
      <c r="B43" s="73" t="s">
        <v>73</v>
      </c>
      <c r="C43" s="74"/>
      <c r="D43" s="74"/>
      <c r="E43" s="75"/>
      <c r="F43" s="76">
        <f>F42+E58</f>
        <v>85209.415</v>
      </c>
      <c r="G43" s="77"/>
      <c r="H43" s="48"/>
    </row>
    <row r="44" ht="15.75" customHeight="1">
      <c r="A44" s="247"/>
      <c r="B44" s="247"/>
      <c r="C44" s="247"/>
      <c r="D44" s="247"/>
      <c r="E44" s="247"/>
      <c r="F44" s="247"/>
      <c r="G44" s="247"/>
      <c r="H44" s="248" t="s">
        <v>245</v>
      </c>
    </row>
    <row r="45" ht="15.0" customHeight="1">
      <c r="A45" s="249"/>
      <c r="B45" s="79" t="s">
        <v>23</v>
      </c>
      <c r="C45" s="80"/>
      <c r="D45" s="80">
        <f>F42</f>
        <v>50835</v>
      </c>
      <c r="E45" s="44"/>
      <c r="F45" s="81" t="s">
        <v>246</v>
      </c>
      <c r="G45" s="82"/>
      <c r="H45" s="250" t="s">
        <v>247</v>
      </c>
    </row>
    <row r="46" ht="15.75" customHeight="1">
      <c r="A46" s="249"/>
      <c r="B46" s="79" t="s">
        <v>22</v>
      </c>
      <c r="C46" s="80"/>
      <c r="D46" s="80">
        <f>E42</f>
        <v>48162</v>
      </c>
      <c r="E46" s="44" t="s">
        <v>30</v>
      </c>
      <c r="G46" s="84"/>
      <c r="H46" s="251" t="s">
        <v>248</v>
      </c>
    </row>
    <row r="47" ht="15.75" customHeight="1">
      <c r="A47" s="249"/>
      <c r="B47" s="79" t="s">
        <v>75</v>
      </c>
      <c r="C47" s="85">
        <v>0.03</v>
      </c>
      <c r="D47" s="80">
        <f>E42*(1-C47)</f>
        <v>46717.14</v>
      </c>
      <c r="E47" s="44"/>
      <c r="G47" s="84"/>
      <c r="H47" s="251" t="s">
        <v>249</v>
      </c>
    </row>
    <row r="48" ht="15.75" customHeight="1">
      <c r="A48" s="249"/>
      <c r="B48" s="87" t="s">
        <v>18</v>
      </c>
      <c r="C48" s="88"/>
      <c r="D48" s="89"/>
      <c r="E48" s="89"/>
      <c r="F48" s="90"/>
      <c r="G48" s="91"/>
      <c r="H48" s="251" t="s">
        <v>250</v>
      </c>
    </row>
    <row r="49" ht="15.75" customHeight="1">
      <c r="A49" s="249"/>
      <c r="B49" s="92" t="s">
        <v>76</v>
      </c>
      <c r="C49" s="93"/>
      <c r="D49" s="93">
        <v>1495.0</v>
      </c>
      <c r="E49" s="94">
        <f>(((SUM(((IF(E45="x",D45,0))+IF(E46="x",D46,0))+IF(E47="x",D47,0))+(IF(E48="x",D48,0))))+D49)</f>
        <v>49657</v>
      </c>
      <c r="F49" s="95"/>
      <c r="G49" s="96"/>
      <c r="H49" s="251" t="s">
        <v>251</v>
      </c>
    </row>
    <row r="50" ht="15.75" customHeight="1">
      <c r="A50" s="249"/>
      <c r="B50" s="97" t="s">
        <v>77</v>
      </c>
      <c r="C50" s="98"/>
      <c r="D50" s="98"/>
      <c r="E50" s="99"/>
      <c r="F50" s="100" t="s">
        <v>78</v>
      </c>
      <c r="G50" s="101"/>
      <c r="H50" s="251" t="s">
        <v>252</v>
      </c>
    </row>
    <row r="51" ht="15.75" customHeight="1">
      <c r="A51" s="249"/>
      <c r="B51" s="97" t="s">
        <v>79</v>
      </c>
      <c r="C51" s="98"/>
      <c r="D51" s="98"/>
      <c r="E51" s="99">
        <v>20000.0</v>
      </c>
      <c r="F51" s="100" t="s">
        <v>80</v>
      </c>
      <c r="G51" s="101"/>
      <c r="H51" s="251" t="s">
        <v>253</v>
      </c>
    </row>
    <row r="52" ht="15.75" customHeight="1">
      <c r="A52" s="249"/>
      <c r="B52" s="97" t="s">
        <v>81</v>
      </c>
      <c r="C52" s="102"/>
      <c r="D52" s="102"/>
      <c r="E52" s="103"/>
      <c r="F52" s="100" t="s">
        <v>82</v>
      </c>
      <c r="G52" s="101"/>
      <c r="H52" s="251" t="s">
        <v>254</v>
      </c>
    </row>
    <row r="53" ht="15.75" customHeight="1">
      <c r="A53" s="252"/>
      <c r="B53" s="97" t="s">
        <v>83</v>
      </c>
      <c r="C53" s="102"/>
      <c r="D53" s="102"/>
      <c r="E53" s="103"/>
      <c r="F53" s="100" t="s">
        <v>84</v>
      </c>
      <c r="G53" s="101"/>
      <c r="H53" s="251" t="s">
        <v>255</v>
      </c>
    </row>
    <row r="54" ht="15.75" customHeight="1">
      <c r="A54" s="252"/>
      <c r="B54" s="104" t="s">
        <v>85</v>
      </c>
      <c r="C54" s="105"/>
      <c r="D54" s="106">
        <v>0.095</v>
      </c>
      <c r="E54" s="107">
        <f>(E49-E50+E52+E53)*D54</f>
        <v>4717.415</v>
      </c>
      <c r="F54" s="100" t="s">
        <v>86</v>
      </c>
      <c r="G54" s="101"/>
      <c r="H54" s="251" t="s">
        <v>256</v>
      </c>
    </row>
    <row r="55" ht="15.75" customHeight="1">
      <c r="A55" s="252"/>
      <c r="B55" s="110" t="s">
        <v>87</v>
      </c>
      <c r="C55" s="111"/>
      <c r="D55" s="111"/>
      <c r="E55" s="111">
        <f>sum(E49-E50-E51+E52+E53+E54)</f>
        <v>34374.415</v>
      </c>
      <c r="F55" s="96"/>
      <c r="G55" s="112"/>
      <c r="H55" s="251" t="s">
        <v>257</v>
      </c>
    </row>
    <row r="56" ht="15.75" customHeight="1">
      <c r="A56" s="252"/>
      <c r="B56" s="115"/>
      <c r="C56" s="113"/>
      <c r="D56" s="113"/>
      <c r="E56" s="113"/>
      <c r="F56" s="116"/>
      <c r="G56" s="116"/>
      <c r="H56" s="251" t="s">
        <v>258</v>
      </c>
    </row>
    <row r="57" ht="15.75" customHeight="1">
      <c r="A57" s="252"/>
      <c r="B57" s="117"/>
      <c r="C57" s="118" t="s">
        <v>88</v>
      </c>
      <c r="D57" s="118"/>
      <c r="E57" s="113"/>
      <c r="F57" s="116"/>
      <c r="G57" s="116"/>
      <c r="H57" s="251" t="s">
        <v>259</v>
      </c>
    </row>
    <row r="58" ht="15.75" customHeight="1">
      <c r="A58" s="252"/>
      <c r="B58" s="83"/>
      <c r="C58" s="120" t="s">
        <v>89</v>
      </c>
      <c r="D58" s="121"/>
      <c r="E58" s="55">
        <f>E55</f>
        <v>34374.415</v>
      </c>
      <c r="F58" s="122" t="s">
        <v>90</v>
      </c>
      <c r="G58" s="101"/>
      <c r="H58" s="251" t="s">
        <v>260</v>
      </c>
    </row>
    <row r="59" ht="15.75" customHeight="1">
      <c r="A59" s="252"/>
      <c r="B59" s="83"/>
      <c r="C59" s="120" t="s">
        <v>91</v>
      </c>
      <c r="D59" s="121"/>
      <c r="E59" s="123">
        <v>0.029</v>
      </c>
      <c r="F59" s="124" t="s">
        <v>92</v>
      </c>
      <c r="G59" s="125"/>
      <c r="H59" s="251" t="s">
        <v>234</v>
      </c>
    </row>
    <row r="60" ht="15.75" customHeight="1">
      <c r="A60" s="247"/>
      <c r="B60" s="83"/>
      <c r="C60" s="126" t="s">
        <v>93</v>
      </c>
      <c r="D60" s="127"/>
      <c r="E60" s="128">
        <v>72.0</v>
      </c>
      <c r="F60" s="129" t="s">
        <v>94</v>
      </c>
      <c r="G60" s="130"/>
      <c r="H60" s="253"/>
    </row>
    <row r="61" ht="15.75" customHeight="1">
      <c r="A61" s="254"/>
      <c r="B61" s="115"/>
      <c r="C61" s="112" t="s">
        <v>95</v>
      </c>
      <c r="D61" s="112"/>
      <c r="E61" s="131">
        <f>PMT(E59/12,E60,-E58)</f>
        <v>520.7373138</v>
      </c>
      <c r="F61" s="77"/>
      <c r="G61" s="131"/>
      <c r="H61" s="253"/>
    </row>
    <row r="62" ht="15.75" customHeight="1">
      <c r="A62" s="114"/>
      <c r="B62" s="115"/>
      <c r="C62" s="115"/>
      <c r="D62" s="115"/>
      <c r="E62" s="115"/>
      <c r="F62" s="115"/>
      <c r="G62" s="115"/>
      <c r="H62" s="132"/>
    </row>
    <row r="63" ht="15.75" customHeight="1">
      <c r="A63" s="114"/>
      <c r="B63" s="115"/>
      <c r="C63" s="115"/>
      <c r="D63" s="115"/>
      <c r="E63" s="115"/>
      <c r="F63" s="115"/>
      <c r="G63" s="115"/>
      <c r="H63" s="132" t="s">
        <v>96</v>
      </c>
    </row>
    <row r="64" ht="15.75" customHeight="1">
      <c r="A64" s="114"/>
      <c r="B64" s="115"/>
      <c r="C64" s="115"/>
      <c r="D64" s="115"/>
      <c r="E64" s="115"/>
      <c r="F64" s="115"/>
      <c r="G64" s="115"/>
      <c r="H64" s="115"/>
    </row>
  </sheetData>
  <mergeCells count="1">
    <mergeCell ref="F45:G48"/>
  </mergeCells>
  <conditionalFormatting sqref="B40">
    <cfRule type="containsText" dxfId="9" priority="1" operator="containsText" text="Mopar">
      <formula>NOT(ISERROR(SEARCH(("Mopar"),(B40))))</formula>
    </cfRule>
  </conditionalFormatting>
  <conditionalFormatting sqref="C4:D41">
    <cfRule type="cellIs" dxfId="0" priority="2" operator="equal">
      <formula>0</formula>
    </cfRule>
  </conditionalFormatting>
  <conditionalFormatting sqref="A5">
    <cfRule type="expression" dxfId="7" priority="3">
      <formula>G4="x"</formula>
    </cfRule>
  </conditionalFormatting>
  <conditionalFormatting sqref="B5">
    <cfRule type="expression" dxfId="7" priority="4">
      <formula>G4="x"</formula>
    </cfRule>
  </conditionalFormatting>
  <conditionalFormatting sqref="C5">
    <cfRule type="expression" dxfId="7" priority="5">
      <formula>G4="x"</formula>
    </cfRule>
  </conditionalFormatting>
  <conditionalFormatting sqref="D5">
    <cfRule type="expression" dxfId="7" priority="6">
      <formula>G4="x"</formula>
    </cfRule>
  </conditionalFormatting>
  <conditionalFormatting sqref="A6">
    <cfRule type="expression" dxfId="7" priority="7">
      <formula>G4="x"</formula>
    </cfRule>
  </conditionalFormatting>
  <conditionalFormatting sqref="C6">
    <cfRule type="expression" dxfId="7" priority="8">
      <formula>G4="x"</formula>
    </cfRule>
  </conditionalFormatting>
  <conditionalFormatting sqref="B6">
    <cfRule type="expression" dxfId="7" priority="9">
      <formula>G4="x"</formula>
    </cfRule>
  </conditionalFormatting>
  <conditionalFormatting sqref="D6">
    <cfRule type="expression" dxfId="7" priority="10">
      <formula>G4="x"</formula>
    </cfRule>
  </conditionalFormatting>
  <conditionalFormatting sqref="G5">
    <cfRule type="expression" dxfId="21" priority="11">
      <formula>and(G4="x",G5="x")</formula>
    </cfRule>
  </conditionalFormatting>
  <conditionalFormatting sqref="G6">
    <cfRule type="expression" dxfId="21" priority="12">
      <formula>and(G4="x",G6="x")</formula>
    </cfRule>
  </conditionalFormatting>
  <conditionalFormatting sqref="G4">
    <cfRule type="expression" dxfId="4" priority="13">
      <formula>and(G8="x",G4="")</formula>
    </cfRule>
  </conditionalFormatting>
  <conditionalFormatting sqref="G4">
    <cfRule type="expression" dxfId="21" priority="14">
      <formula>or(G5="x",G6="x")</formula>
    </cfRule>
  </conditionalFormatting>
  <conditionalFormatting sqref="G9">
    <cfRule type="expression" dxfId="10" priority="15">
      <formula>and(G22="x",G9="")</formula>
    </cfRule>
  </conditionalFormatting>
  <conditionalFormatting sqref="G24">
    <cfRule type="expression" dxfId="10" priority="16">
      <formula>and(G22="x",G24="")</formula>
    </cfRule>
  </conditionalFormatting>
  <conditionalFormatting sqref="G38">
    <cfRule type="expression" dxfId="10" priority="17">
      <formula>and(G38="x",or(G29="x",G39="x"))</formula>
    </cfRule>
  </conditionalFormatting>
  <conditionalFormatting sqref="G39">
    <cfRule type="expression" dxfId="10" priority="18">
      <formula>and(G39="x",or(G29="x",G38="x"))</formula>
    </cfRule>
  </conditionalFormatting>
  <conditionalFormatting sqref="G29">
    <cfRule type="expression" dxfId="10" priority="19">
      <formula>and(G29="x",or(G38="x",G39="x"))</formula>
    </cfRule>
  </conditionalFormatting>
  <conditionalFormatting sqref="G26">
    <cfRule type="expression" dxfId="10" priority="20">
      <formula>and(G26="",G32="x")</formula>
    </cfRule>
  </conditionalFormatting>
  <conditionalFormatting sqref="G24">
    <cfRule type="expression" dxfId="10" priority="21">
      <formula>and(G34="x",G24="")</formula>
    </cfRule>
  </conditionalFormatting>
  <conditionalFormatting sqref="G12">
    <cfRule type="expression" dxfId="10" priority="22">
      <formula>and(G12="",G36="x")</formula>
    </cfRule>
  </conditionalFormatting>
  <conditionalFormatting sqref="H4:H41">
    <cfRule type="containsText" dxfId="6" priority="23" operator="containsText" text="Reduce">
      <formula>NOT(ISERROR(SEARCH(("Reduce"),(H4))))</formula>
    </cfRule>
  </conditionalFormatting>
  <conditionalFormatting sqref="H4:H41">
    <cfRule type="containsText" dxfId="5" priority="24" operator="containsText" text="N/A">
      <formula>NOT(ISERROR(SEARCH(("N/A"),(H4))))</formula>
    </cfRule>
  </conditionalFormatting>
  <conditionalFormatting sqref="H4:H41">
    <cfRule type="containsText" dxfId="0" priority="25" operator="containsText" text="Include">
      <formula>NOT(ISERROR(SEARCH(("Include"),(H4))))</formula>
    </cfRule>
  </conditionalFormatting>
  <conditionalFormatting sqref="H4:H41">
    <cfRule type="containsText" dxfId="5" priority="26" operator="containsText" text="Require">
      <formula>NOT(ISERROR(SEARCH(("Require"),(H4))))</formula>
    </cfRule>
  </conditionalFormatting>
  <conditionalFormatting sqref="H4:H41">
    <cfRule type="containsText" dxfId="5" priority="27" operator="containsText" text="Only">
      <formula>NOT(ISERROR(SEARCH(("Only"),(H4))))</formula>
    </cfRule>
  </conditionalFormatting>
  <conditionalFormatting sqref="B4:B41">
    <cfRule type="expression" dxfId="8" priority="28">
      <formula>G4:G41="x"</formula>
    </cfRule>
  </conditionalFormatting>
  <conditionalFormatting sqref="E4:E41">
    <cfRule type="expression" dxfId="8" priority="29">
      <formula>G4:G41="x"</formula>
    </cfRule>
  </conditionalFormatting>
  <conditionalFormatting sqref="F4:F41">
    <cfRule type="expression" dxfId="8" priority="30">
      <formula>G4:G41="x"</formula>
    </cfRule>
  </conditionalFormatting>
  <conditionalFormatting sqref="E4:F41">
    <cfRule type="cellIs" dxfId="22" priority="31" operator="equal">
      <formula>0</formula>
    </cfRule>
  </conditionalFormatting>
  <conditionalFormatting sqref="B8">
    <cfRule type="expression" dxfId="16" priority="32">
      <formula>G4</formula>
    </cfRule>
  </conditionalFormatting>
  <dataValidations>
    <dataValidation type="list" allowBlank="1" sqref="C47">
      <formula1>"1%,2%,3%,4%,5%,6%,7%,8%,9%,10%"</formula1>
    </dataValidation>
  </dataValidations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1.57"/>
  </cols>
  <sheetData>
    <row r="1">
      <c r="A1" s="255" t="s">
        <v>261</v>
      </c>
      <c r="B1" s="118"/>
      <c r="C1" s="113"/>
      <c r="D1" s="116"/>
      <c r="E1" s="116"/>
    </row>
    <row r="2">
      <c r="A2" s="79" t="s">
        <v>23</v>
      </c>
      <c r="B2" s="80"/>
      <c r="C2" s="80" t="str">
        <f t="shared" ref="C2:C3" si="1">#REF!</f>
        <v>#REF!</v>
      </c>
      <c r="D2" s="44"/>
      <c r="E2" s="81" t="s">
        <v>262</v>
      </c>
      <c r="F2" s="82"/>
    </row>
    <row r="3">
      <c r="A3" s="79" t="s">
        <v>22</v>
      </c>
      <c r="B3" s="80"/>
      <c r="C3" s="80" t="str">
        <f t="shared" si="1"/>
        <v>#REF!</v>
      </c>
      <c r="D3" s="44"/>
      <c r="F3" s="84"/>
    </row>
    <row r="4">
      <c r="A4" s="79" t="s">
        <v>75</v>
      </c>
      <c r="B4" s="85">
        <v>0.03</v>
      </c>
      <c r="C4" s="80" t="str">
        <f>#REF!*(1-B4)</f>
        <v>#REF!</v>
      </c>
      <c r="D4" s="44"/>
      <c r="F4" s="84"/>
    </row>
    <row r="5">
      <c r="A5" s="87" t="s">
        <v>18</v>
      </c>
      <c r="B5" s="88"/>
      <c r="C5" s="89"/>
      <c r="D5" s="89"/>
      <c r="E5" s="90"/>
      <c r="F5" s="91"/>
    </row>
    <row r="6">
      <c r="A6" s="92" t="s">
        <v>76</v>
      </c>
      <c r="B6" s="93"/>
      <c r="C6" s="93">
        <v>1495.0</v>
      </c>
      <c r="D6" s="94">
        <f>(((SUM(((IF(D2="x",C2,0))+IF(D3="x",C3,0))+IF(D4="x",C4,0))+(IF(D5="x",C5,0))))+C6)</f>
        <v>1495</v>
      </c>
      <c r="E6" s="95"/>
      <c r="F6" s="96"/>
    </row>
    <row r="7">
      <c r="A7" s="97" t="s">
        <v>77</v>
      </c>
      <c r="B7" s="98"/>
      <c r="C7" s="98"/>
      <c r="D7" s="99"/>
      <c r="E7" s="100" t="s">
        <v>78</v>
      </c>
      <c r="F7" s="101"/>
    </row>
    <row r="8">
      <c r="A8" s="97" t="s">
        <v>79</v>
      </c>
      <c r="B8" s="98"/>
      <c r="C8" s="98"/>
      <c r="D8" s="99"/>
      <c r="E8" s="100" t="s">
        <v>80</v>
      </c>
      <c r="F8" s="101"/>
    </row>
    <row r="9">
      <c r="A9" s="97" t="s">
        <v>81</v>
      </c>
      <c r="B9" s="102"/>
      <c r="C9" s="102"/>
      <c r="D9" s="103"/>
      <c r="E9" s="100" t="s">
        <v>82</v>
      </c>
      <c r="F9" s="101"/>
    </row>
    <row r="10">
      <c r="A10" s="97" t="s">
        <v>83</v>
      </c>
      <c r="B10" s="102"/>
      <c r="C10" s="102"/>
      <c r="D10" s="103"/>
      <c r="E10" s="100" t="s">
        <v>84</v>
      </c>
      <c r="F10" s="101"/>
    </row>
    <row r="11">
      <c r="A11" s="104" t="s">
        <v>85</v>
      </c>
      <c r="B11" s="105"/>
      <c r="C11" s="106">
        <v>0.085</v>
      </c>
      <c r="D11" s="107">
        <f>(D6-D7+D9+D10)*C11</f>
        <v>127.075</v>
      </c>
      <c r="E11" s="100" t="s">
        <v>86</v>
      </c>
      <c r="F11" s="101"/>
    </row>
    <row r="12">
      <c r="A12" s="110" t="s">
        <v>87</v>
      </c>
      <c r="B12" s="111"/>
      <c r="C12" s="111"/>
      <c r="D12" s="111">
        <f>sum(D6-D7-D8+D9+D10+D11)</f>
        <v>1622.075</v>
      </c>
      <c r="E12" s="96"/>
      <c r="F12" s="112"/>
    </row>
    <row r="13">
      <c r="A13" s="115"/>
      <c r="B13" s="113"/>
      <c r="C13" s="113"/>
      <c r="D13" s="113"/>
      <c r="E13" s="116"/>
      <c r="F13" s="116"/>
    </row>
    <row r="14">
      <c r="A14" s="117"/>
      <c r="B14" s="118" t="s">
        <v>88</v>
      </c>
      <c r="C14" s="118"/>
      <c r="D14" s="113"/>
      <c r="E14" s="116"/>
      <c r="F14" s="116"/>
    </row>
    <row r="15">
      <c r="A15" s="83"/>
      <c r="B15" s="120" t="s">
        <v>89</v>
      </c>
      <c r="C15" s="121"/>
      <c r="D15" s="55">
        <f>D12</f>
        <v>1622.075</v>
      </c>
      <c r="E15" s="122" t="s">
        <v>90</v>
      </c>
      <c r="F15" s="101"/>
    </row>
    <row r="16">
      <c r="A16" s="83"/>
      <c r="B16" s="120" t="s">
        <v>91</v>
      </c>
      <c r="C16" s="121"/>
      <c r="D16" s="123">
        <v>0.049</v>
      </c>
      <c r="E16" s="124" t="s">
        <v>92</v>
      </c>
      <c r="F16" s="125"/>
    </row>
    <row r="17">
      <c r="A17" s="83"/>
      <c r="B17" s="126" t="s">
        <v>93</v>
      </c>
      <c r="C17" s="127"/>
      <c r="D17" s="128">
        <v>72.0</v>
      </c>
      <c r="E17" s="129" t="s">
        <v>94</v>
      </c>
      <c r="F17" s="130"/>
    </row>
    <row r="18">
      <c r="A18" s="115"/>
      <c r="B18" s="112" t="s">
        <v>95</v>
      </c>
      <c r="C18" s="112"/>
      <c r="D18" s="131">
        <f>PMT(D16/12,D17,-D15)</f>
        <v>26.0482338</v>
      </c>
      <c r="E18" s="77"/>
      <c r="F18" s="131"/>
    </row>
    <row r="26">
      <c r="A26" s="255" t="s">
        <v>263</v>
      </c>
      <c r="B26" s="256" t="s">
        <v>264</v>
      </c>
      <c r="C26" s="113"/>
      <c r="D26" s="116"/>
      <c r="E26" s="116"/>
    </row>
    <row r="27">
      <c r="A27" s="257" t="s">
        <v>23</v>
      </c>
      <c r="B27" s="258">
        <v>49000.0</v>
      </c>
      <c r="C27" s="259" t="s">
        <v>265</v>
      </c>
      <c r="D27" s="4"/>
    </row>
    <row r="28">
      <c r="A28" s="257" t="s">
        <v>266</v>
      </c>
      <c r="B28" s="260">
        <v>0.65</v>
      </c>
      <c r="C28" s="259" t="s">
        <v>267</v>
      </c>
      <c r="D28" s="4"/>
    </row>
    <row r="29">
      <c r="A29" s="257" t="s">
        <v>268</v>
      </c>
      <c r="B29" s="261">
        <f>B27*B28</f>
        <v>31850</v>
      </c>
      <c r="C29" s="262" t="s">
        <v>269</v>
      </c>
      <c r="D29" s="4"/>
    </row>
    <row r="30">
      <c r="A30" s="257" t="s">
        <v>270</v>
      </c>
      <c r="B30" s="258">
        <v>46000.0</v>
      </c>
      <c r="C30" s="259"/>
      <c r="D30" s="4"/>
    </row>
    <row r="31">
      <c r="A31" s="257" t="s">
        <v>271</v>
      </c>
      <c r="B31" s="258">
        <v>500.0</v>
      </c>
      <c r="C31" s="259"/>
      <c r="D31" s="4"/>
    </row>
    <row r="32">
      <c r="A32" s="257" t="s">
        <v>272</v>
      </c>
      <c r="B32" s="261">
        <f>B30+B31</f>
        <v>46500</v>
      </c>
      <c r="C32" s="262" t="s">
        <v>269</v>
      </c>
      <c r="D32" s="4"/>
    </row>
    <row r="33">
      <c r="A33" s="257" t="s">
        <v>273</v>
      </c>
      <c r="B33" s="258">
        <v>0.0</v>
      </c>
      <c r="C33" s="259"/>
      <c r="D33" s="4"/>
    </row>
    <row r="34">
      <c r="A34" s="257" t="s">
        <v>274</v>
      </c>
      <c r="B34" s="258">
        <v>1000.0</v>
      </c>
      <c r="C34" s="259"/>
      <c r="D34" s="4"/>
    </row>
    <row r="35">
      <c r="A35" s="257" t="s">
        <v>275</v>
      </c>
      <c r="B35" s="261">
        <f>B32-B33-B34</f>
        <v>45500</v>
      </c>
      <c r="C35" s="262" t="s">
        <v>269</v>
      </c>
      <c r="D35" s="4"/>
    </row>
    <row r="36">
      <c r="A36" s="257" t="s">
        <v>276</v>
      </c>
      <c r="B36" s="261">
        <f>B35-B29</f>
        <v>13650</v>
      </c>
      <c r="C36" s="262" t="s">
        <v>269</v>
      </c>
      <c r="D36" s="4"/>
    </row>
    <row r="37">
      <c r="A37" s="257" t="s">
        <v>277</v>
      </c>
      <c r="B37" s="263">
        <v>36.0</v>
      </c>
      <c r="C37" s="259"/>
      <c r="D37" s="4"/>
    </row>
    <row r="38">
      <c r="A38" s="257" t="s">
        <v>278</v>
      </c>
      <c r="B38" s="261">
        <f>B36/B37</f>
        <v>379.1666667</v>
      </c>
      <c r="C38" s="262" t="s">
        <v>269</v>
      </c>
      <c r="D38" s="4"/>
    </row>
    <row r="39">
      <c r="A39" s="257" t="s">
        <v>279</v>
      </c>
      <c r="B39" s="263">
        <v>0.00166666</v>
      </c>
      <c r="C39" s="259"/>
      <c r="D39" s="4"/>
    </row>
    <row r="40">
      <c r="A40" s="257" t="s">
        <v>280</v>
      </c>
      <c r="B40" s="261">
        <f>(B29+B35)*B39</f>
        <v>128.916151</v>
      </c>
      <c r="C40" s="262" t="s">
        <v>269</v>
      </c>
      <c r="D40" s="4"/>
    </row>
    <row r="41">
      <c r="A41" s="257" t="s">
        <v>281</v>
      </c>
      <c r="B41" s="261">
        <f>B38+B40</f>
        <v>508.0828177</v>
      </c>
      <c r="C41" s="262" t="s">
        <v>269</v>
      </c>
      <c r="D41" s="4"/>
    </row>
    <row r="42">
      <c r="A42" s="257" t="s">
        <v>282</v>
      </c>
      <c r="B42" s="264">
        <v>0.03</v>
      </c>
      <c r="C42" s="259" t="s">
        <v>283</v>
      </c>
      <c r="D42" s="4"/>
    </row>
    <row r="43">
      <c r="A43" s="257" t="s">
        <v>284</v>
      </c>
      <c r="B43" s="261">
        <f>B41*(1+B42)</f>
        <v>523.3253022</v>
      </c>
      <c r="C43" s="262" t="s">
        <v>269</v>
      </c>
      <c r="D43" s="4"/>
    </row>
  </sheetData>
  <mergeCells count="18">
    <mergeCell ref="E2:F5"/>
    <mergeCell ref="C27:D27"/>
    <mergeCell ref="C28:D28"/>
    <mergeCell ref="C29:D29"/>
    <mergeCell ref="C30:D30"/>
    <mergeCell ref="C31:D31"/>
    <mergeCell ref="C32:D32"/>
    <mergeCell ref="C40:D40"/>
    <mergeCell ref="C41:D41"/>
    <mergeCell ref="C42:D42"/>
    <mergeCell ref="C43:D43"/>
    <mergeCell ref="C33:D33"/>
    <mergeCell ref="C34:D34"/>
    <mergeCell ref="C35:D35"/>
    <mergeCell ref="C36:D36"/>
    <mergeCell ref="C37:D37"/>
    <mergeCell ref="C38:D38"/>
    <mergeCell ref="C39:D39"/>
  </mergeCells>
  <dataValidations>
    <dataValidation type="list" allowBlank="1" sqref="B4">
      <formula1>"1%,2%,3%,4%,5%,6%,7%,8%,9%,10%"</formula1>
    </dataValidation>
  </dataValidation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10.29"/>
    <col customWidth="1" min="2" max="2" width="39.29"/>
    <col customWidth="1" min="3" max="4" width="10.57"/>
    <col customWidth="1" min="5" max="6" width="14.57"/>
    <col customWidth="1" min="7" max="7" width="11.0"/>
    <col customWidth="1" min="8" max="8" width="57.14"/>
  </cols>
  <sheetData>
    <row r="1" ht="15.75" customHeight="1">
      <c r="A1" s="187"/>
      <c r="B1" s="187" t="s">
        <v>19</v>
      </c>
      <c r="C1" s="187"/>
      <c r="D1" s="187"/>
      <c r="E1" s="187"/>
      <c r="F1" s="187"/>
      <c r="G1" s="187"/>
      <c r="H1" s="28" t="s">
        <v>13</v>
      </c>
    </row>
    <row r="2">
      <c r="A2" s="265" t="s">
        <v>109</v>
      </c>
      <c r="B2" s="266" t="s">
        <v>21</v>
      </c>
      <c r="C2" s="267" t="s">
        <v>193</v>
      </c>
      <c r="D2" s="267" t="s">
        <v>23</v>
      </c>
      <c r="E2" s="268" t="s">
        <v>285</v>
      </c>
      <c r="F2" s="268" t="s">
        <v>286</v>
      </c>
      <c r="G2" s="269" t="s">
        <v>26</v>
      </c>
      <c r="H2" s="270" t="s">
        <v>287</v>
      </c>
    </row>
    <row r="3">
      <c r="A3" s="192" t="s">
        <v>288</v>
      </c>
      <c r="B3" s="271" t="s">
        <v>289</v>
      </c>
      <c r="C3" s="194">
        <v>38675.0</v>
      </c>
      <c r="D3" s="194">
        <v>40415.0</v>
      </c>
      <c r="E3" s="195">
        <f t="shared" ref="E3:E38" si="1">IF(G3="x",C3,0)</f>
        <v>38675</v>
      </c>
      <c r="F3" s="195">
        <f t="shared" ref="F3:F38" si="2">IF(G3="x",D3,0)</f>
        <v>40415</v>
      </c>
      <c r="G3" s="272" t="s">
        <v>30</v>
      </c>
      <c r="H3" s="197" t="s">
        <v>31</v>
      </c>
    </row>
    <row r="4">
      <c r="A4" s="145" t="s">
        <v>32</v>
      </c>
      <c r="B4" s="146" t="s">
        <v>113</v>
      </c>
      <c r="C4" s="41">
        <v>1800.0</v>
      </c>
      <c r="D4" s="42">
        <v>2000.0</v>
      </c>
      <c r="E4" s="43">
        <f t="shared" si="1"/>
        <v>1800</v>
      </c>
      <c r="F4" s="43">
        <f t="shared" si="2"/>
        <v>2000</v>
      </c>
      <c r="G4" s="44" t="s">
        <v>30</v>
      </c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1800.0</v>
      </c>
      <c r="D5" s="46">
        <v>2000.0</v>
      </c>
      <c r="E5" s="43">
        <f t="shared" si="1"/>
        <v>0</v>
      </c>
      <c r="F5" s="43">
        <f t="shared" si="2"/>
        <v>0</v>
      </c>
      <c r="G5" s="44"/>
      <c r="H5" s="47" t="str">
        <f>if(and(G5="x",G7=""),"Requires V6 Turbo","")</f>
        <v/>
      </c>
    </row>
    <row r="6" ht="15.75" customHeight="1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if(and(G6="x",G33=""),"Requires DFV 8-Speed Transmission","")</f>
        <v/>
      </c>
    </row>
    <row r="7">
      <c r="A7" s="273" t="s">
        <v>114</v>
      </c>
      <c r="B7" s="274" t="s">
        <v>199</v>
      </c>
      <c r="C7" s="275">
        <f>if(G23="X",0,1706)</f>
        <v>1706</v>
      </c>
      <c r="D7" s="275">
        <f>if(G23="X",0,1895)</f>
        <v>1895</v>
      </c>
      <c r="E7" s="201">
        <f t="shared" si="1"/>
        <v>0</v>
      </c>
      <c r="F7" s="201">
        <f t="shared" si="2"/>
        <v>0</v>
      </c>
      <c r="G7" s="202"/>
      <c r="H7" s="206"/>
    </row>
    <row r="8">
      <c r="A8" s="198" t="s">
        <v>116</v>
      </c>
      <c r="B8" s="199" t="s">
        <v>117</v>
      </c>
      <c r="C8" s="53">
        <v>716.0</v>
      </c>
      <c r="D8" s="200">
        <v>795.0</v>
      </c>
      <c r="E8" s="201">
        <f t="shared" si="1"/>
        <v>0</v>
      </c>
      <c r="F8" s="201">
        <f t="shared" si="2"/>
        <v>0</v>
      </c>
      <c r="G8" s="202"/>
      <c r="H8" s="206" t="str">
        <f>if(and(G8="x",G28=""),"Requires Safety Group (AJ1)","")</f>
        <v/>
      </c>
    </row>
    <row r="9">
      <c r="A9" s="198" t="s">
        <v>38</v>
      </c>
      <c r="B9" s="199" t="s">
        <v>118</v>
      </c>
      <c r="C9" s="53">
        <v>149.0</v>
      </c>
      <c r="D9" s="53">
        <v>165.0</v>
      </c>
      <c r="E9" s="201">
        <f t="shared" si="1"/>
        <v>0</v>
      </c>
      <c r="F9" s="201">
        <f t="shared" si="2"/>
        <v>0</v>
      </c>
      <c r="G9" s="202"/>
      <c r="H9" s="204"/>
    </row>
    <row r="10" ht="15.75" customHeight="1">
      <c r="A10" s="39" t="s">
        <v>119</v>
      </c>
      <c r="B10" s="148" t="s">
        <v>120</v>
      </c>
      <c r="C10" s="49">
        <f>if(G7="x",0,1166)</f>
        <v>1166</v>
      </c>
      <c r="D10" s="50">
        <f>if(G7="x",0,1295)</f>
        <v>1295</v>
      </c>
      <c r="E10" s="43">
        <f t="shared" si="1"/>
        <v>0</v>
      </c>
      <c r="F10" s="43">
        <f t="shared" si="2"/>
        <v>0</v>
      </c>
      <c r="G10" s="44"/>
      <c r="H10" s="149" t="str">
        <f>if(G7="x","Included with Premium Audio Group","")</f>
        <v/>
      </c>
    </row>
    <row r="11" ht="15.75" customHeight="1">
      <c r="A11" s="198" t="s">
        <v>40</v>
      </c>
      <c r="B11" s="199" t="s">
        <v>290</v>
      </c>
      <c r="C11" s="53">
        <f>if(G6="x",0,536)</f>
        <v>536</v>
      </c>
      <c r="D11" s="200">
        <f>if(G6="x",0,595)</f>
        <v>595</v>
      </c>
      <c r="E11" s="201">
        <f t="shared" si="1"/>
        <v>0</v>
      </c>
      <c r="F11" s="201">
        <f t="shared" si="2"/>
        <v>0</v>
      </c>
      <c r="G11" s="202"/>
      <c r="H11" s="51" t="str">
        <f>if(G6="x","Included with V6 Turbo Diesel (EXJ)","")</f>
        <v/>
      </c>
    </row>
    <row r="12">
      <c r="A12" s="198" t="s">
        <v>42</v>
      </c>
      <c r="B12" s="199" t="s">
        <v>122</v>
      </c>
      <c r="C12" s="53">
        <v>266.0</v>
      </c>
      <c r="D12" s="200">
        <v>295.0</v>
      </c>
      <c r="E12" s="201">
        <f t="shared" si="1"/>
        <v>0</v>
      </c>
      <c r="F12" s="201">
        <f t="shared" si="2"/>
        <v>0</v>
      </c>
      <c r="G12" s="202"/>
      <c r="H12" s="204"/>
    </row>
    <row r="13">
      <c r="A13" s="198" t="s">
        <v>44</v>
      </c>
      <c r="B13" s="199" t="s">
        <v>123</v>
      </c>
      <c r="C13" s="205">
        <f>if(or(G17="x",G23="x"),0,1256)</f>
        <v>1256</v>
      </c>
      <c r="D13" s="205">
        <f>if(or(G17="x",G23="x"),0,1395)</f>
        <v>1395</v>
      </c>
      <c r="E13" s="201">
        <f t="shared" si="1"/>
        <v>0</v>
      </c>
      <c r="F13" s="201">
        <f t="shared" si="2"/>
        <v>0</v>
      </c>
      <c r="G13" s="202"/>
      <c r="H13" s="208" t="str">
        <f>if(and(G13="",G18="x"),"Included with Dual Top Group (AEN)",if(and(G13="x",G14="x"),"Only 1; Black Hard-Top (HT1) or Body Color Hard-Top (HT3)",""))</f>
        <v/>
      </c>
    </row>
    <row r="14">
      <c r="A14" s="198" t="s">
        <v>201</v>
      </c>
      <c r="B14" s="199" t="s">
        <v>202</v>
      </c>
      <c r="C14" s="205">
        <f>if(or(G9="x",G10="x"),1080,2156)</f>
        <v>2156</v>
      </c>
      <c r="D14" s="205">
        <f>if(or(G9="x",G10="x"),1200,2395)</f>
        <v>2395</v>
      </c>
      <c r="E14" s="201">
        <f t="shared" si="1"/>
        <v>0</v>
      </c>
      <c r="F14" s="201">
        <f t="shared" si="2"/>
        <v>0</v>
      </c>
      <c r="G14" s="202"/>
      <c r="H14" s="276" t="str">
        <f>if(and(G13="",G17="x"),"Price Reduced with Dual Top Group (AEN)",if(and(G13="x",G14="x"),"Only 1; Black Hard-Top (HT1) or Body Color Hard-Top (HT3)",""))</f>
        <v/>
      </c>
    </row>
    <row r="15">
      <c r="A15" s="198" t="s">
        <v>124</v>
      </c>
      <c r="B15" s="199" t="s">
        <v>205</v>
      </c>
      <c r="C15" s="53">
        <v>806.0</v>
      </c>
      <c r="D15" s="200">
        <v>895.0</v>
      </c>
      <c r="E15" s="201">
        <f t="shared" si="1"/>
        <v>0</v>
      </c>
      <c r="F15" s="201">
        <f t="shared" si="2"/>
        <v>0</v>
      </c>
      <c r="G15" s="202"/>
      <c r="H15" s="204"/>
    </row>
    <row r="16">
      <c r="A16" s="198" t="s">
        <v>126</v>
      </c>
      <c r="B16" s="199" t="s">
        <v>127</v>
      </c>
      <c r="C16" s="205">
        <f>if(or(G4="x",G5="x"),896,626)</f>
        <v>896</v>
      </c>
      <c r="D16" s="205">
        <f>if(or(G4="x",G5="x"),995,695)</f>
        <v>995</v>
      </c>
      <c r="E16" s="201">
        <f t="shared" si="1"/>
        <v>0</v>
      </c>
      <c r="F16" s="201">
        <f t="shared" si="2"/>
        <v>0</v>
      </c>
      <c r="G16" s="202"/>
      <c r="H16" s="277"/>
    </row>
    <row r="17">
      <c r="A17" s="198" t="s">
        <v>130</v>
      </c>
      <c r="B17" s="199" t="s">
        <v>131</v>
      </c>
      <c r="C17" s="205">
        <f>if(G23="x",990,2156)</f>
        <v>2156</v>
      </c>
      <c r="D17" s="205">
        <f>if(G23="x",1100,2395)</f>
        <v>2395</v>
      </c>
      <c r="E17" s="201">
        <f t="shared" si="1"/>
        <v>0</v>
      </c>
      <c r="F17" s="201">
        <f t="shared" si="2"/>
        <v>0</v>
      </c>
      <c r="G17" s="202"/>
      <c r="H17" s="236" t="str">
        <f>if(and(G17="x",G27="",G36="",G37=""),"Requires Tonneau option; Roll-Up (CSD), Hard Tri-Fold (CSU) or Soft Tri-Fold (CT6)","")</f>
        <v/>
      </c>
    </row>
    <row r="18">
      <c r="A18" s="198" t="s">
        <v>48</v>
      </c>
      <c r="B18" s="199" t="s">
        <v>49</v>
      </c>
      <c r="C18" s="53">
        <v>86.0</v>
      </c>
      <c r="D18" s="200">
        <v>95.0</v>
      </c>
      <c r="E18" s="201">
        <f t="shared" si="1"/>
        <v>0</v>
      </c>
      <c r="F18" s="201">
        <f t="shared" si="2"/>
        <v>0</v>
      </c>
      <c r="G18" s="202"/>
      <c r="H18" s="204"/>
    </row>
    <row r="19">
      <c r="A19" s="198" t="s">
        <v>134</v>
      </c>
      <c r="B19" s="199" t="s">
        <v>135</v>
      </c>
      <c r="C19" s="53">
        <v>500.0</v>
      </c>
      <c r="D19" s="200">
        <v>555.0</v>
      </c>
      <c r="E19" s="201">
        <f t="shared" si="1"/>
        <v>0</v>
      </c>
      <c r="F19" s="201">
        <f t="shared" si="2"/>
        <v>0</v>
      </c>
      <c r="G19" s="202"/>
      <c r="H19" s="206" t="str">
        <f>if(and(G19="x",AND(G13="",G14="")),"Requires Body Color (HT3) or Black (HT1) Hardtop","")</f>
        <v/>
      </c>
    </row>
    <row r="20">
      <c r="A20" s="198" t="s">
        <v>206</v>
      </c>
      <c r="B20" s="199" t="s">
        <v>291</v>
      </c>
      <c r="C20" s="275">
        <v>536.0</v>
      </c>
      <c r="D20" s="275">
        <v>595.0</v>
      </c>
      <c r="E20" s="201">
        <f t="shared" si="1"/>
        <v>0</v>
      </c>
      <c r="F20" s="201">
        <f t="shared" si="2"/>
        <v>0</v>
      </c>
      <c r="G20" s="202"/>
      <c r="H20" s="277" t="str">
        <f>if(and(G20="x",or(G22="",G7="")),"Requires LED Lighting (AD6) and 8.4 Radio (AEK)","")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198" t="s">
        <v>208</v>
      </c>
      <c r="B22" s="199" t="s">
        <v>209</v>
      </c>
      <c r="C22" s="53">
        <v>1166.0</v>
      </c>
      <c r="D22" s="53">
        <v>1295.0</v>
      </c>
      <c r="E22" s="201">
        <f t="shared" si="1"/>
        <v>0</v>
      </c>
      <c r="F22" s="201">
        <f t="shared" si="2"/>
        <v>0</v>
      </c>
      <c r="G22" s="202"/>
      <c r="H22" s="204"/>
    </row>
    <row r="23">
      <c r="A23" s="198" t="s">
        <v>136</v>
      </c>
      <c r="B23" s="199" t="s">
        <v>137</v>
      </c>
      <c r="C23" s="275">
        <v>2696.0</v>
      </c>
      <c r="D23" s="275">
        <v>2995.0</v>
      </c>
      <c r="E23" s="201">
        <f t="shared" si="1"/>
        <v>0</v>
      </c>
      <c r="F23" s="201">
        <f t="shared" si="2"/>
        <v>0</v>
      </c>
      <c r="G23" s="202"/>
      <c r="H23" s="206" t="str">
        <f>if(G23="x","Includes Premium Audio (AEK), Black Hard-Top (HT1), Trailer Tow (ABR) and Leather Seats (MLTV/MLX9)","")</f>
        <v/>
      </c>
    </row>
    <row r="24">
      <c r="A24" s="198" t="s">
        <v>138</v>
      </c>
      <c r="B24" s="199" t="s">
        <v>292</v>
      </c>
      <c r="C24" s="278">
        <f>if(G17="x",0,536)</f>
        <v>536</v>
      </c>
      <c r="D24" s="278">
        <f>if(G17="x",0,595)</f>
        <v>595</v>
      </c>
      <c r="E24" s="201">
        <f t="shared" si="1"/>
        <v>0</v>
      </c>
      <c r="F24" s="201">
        <f t="shared" si="2"/>
        <v>0</v>
      </c>
      <c r="G24" s="202"/>
      <c r="H24" s="204" t="str">
        <f>if(G17="x","Included with Dual Top Group (AEN)","")</f>
        <v/>
      </c>
    </row>
    <row r="25" ht="15.75" customHeight="1">
      <c r="A25" s="198" t="s">
        <v>212</v>
      </c>
      <c r="B25" s="199" t="s">
        <v>213</v>
      </c>
      <c r="C25" s="53">
        <v>490.0</v>
      </c>
      <c r="D25" s="53">
        <v>545.0</v>
      </c>
      <c r="E25" s="201">
        <f t="shared" si="1"/>
        <v>0</v>
      </c>
      <c r="F25" s="201">
        <f t="shared" si="2"/>
        <v>0</v>
      </c>
      <c r="G25" s="202"/>
      <c r="H25" s="204"/>
    </row>
    <row r="26" ht="15.75" customHeight="1">
      <c r="A26" s="198" t="s">
        <v>214</v>
      </c>
      <c r="B26" s="279" t="s">
        <v>215</v>
      </c>
      <c r="C26" s="278">
        <f>if(G16="x",0,446)</f>
        <v>446</v>
      </c>
      <c r="D26" s="278">
        <f>if(G16="x",0,495)</f>
        <v>495</v>
      </c>
      <c r="E26" s="201">
        <f t="shared" si="1"/>
        <v>0</v>
      </c>
      <c r="F26" s="201">
        <f t="shared" si="2"/>
        <v>0</v>
      </c>
      <c r="G26" s="202"/>
      <c r="H26" s="206" t="str">
        <f>if(G26="x",if(AND(G4="",G5=""),"Requires Automatic Transmission (DFT) or (DFV).",if(G16="x","Included with Cold Weather (ADE)","")),"")</f>
        <v/>
      </c>
    </row>
    <row r="27" ht="15.75" customHeight="1">
      <c r="A27" s="198" t="s">
        <v>54</v>
      </c>
      <c r="B27" s="199" t="s">
        <v>55</v>
      </c>
      <c r="C27" s="53">
        <v>536.0</v>
      </c>
      <c r="D27" s="53">
        <v>595.0</v>
      </c>
      <c r="E27" s="201">
        <f t="shared" si="1"/>
        <v>0</v>
      </c>
      <c r="F27" s="201">
        <f t="shared" si="2"/>
        <v>0</v>
      </c>
      <c r="G27" s="202"/>
      <c r="H27" s="52" t="str">
        <f>if(and(G27="x",or(G36="x",G37="x")),"N/A with Other Tonneau Options","")</f>
        <v/>
      </c>
    </row>
    <row r="28">
      <c r="A28" s="198" t="s">
        <v>140</v>
      </c>
      <c r="B28" s="199" t="s">
        <v>141</v>
      </c>
      <c r="C28" s="205">
        <f>if(G22="X",806,896)</f>
        <v>896</v>
      </c>
      <c r="D28" s="205">
        <f>if(G22="X",895,995)</f>
        <v>995</v>
      </c>
      <c r="E28" s="201">
        <f t="shared" si="1"/>
        <v>0</v>
      </c>
      <c r="F28" s="201">
        <f t="shared" si="2"/>
        <v>0</v>
      </c>
      <c r="G28" s="202"/>
      <c r="H28" s="235" t="str">
        <f>if(G22="x","Price Reduced with LED Lighting Group (AD6)","")</f>
        <v/>
      </c>
    </row>
    <row r="29" ht="15.75" customHeight="1">
      <c r="A29" s="39" t="s">
        <v>142</v>
      </c>
      <c r="B29" s="40" t="s">
        <v>143</v>
      </c>
      <c r="C29" s="41">
        <v>626.0</v>
      </c>
      <c r="D29" s="41">
        <v>695.0</v>
      </c>
      <c r="E29" s="43">
        <f t="shared" si="1"/>
        <v>0</v>
      </c>
      <c r="F29" s="43">
        <f t="shared" si="2"/>
        <v>0</v>
      </c>
      <c r="G29" s="44"/>
      <c r="H29" s="149" t="str">
        <f>if(and(G4="",G5=""),"Requires 8-Speed Automatic 850Re Transmission (DFT)","")</f>
        <v/>
      </c>
    </row>
    <row r="30" ht="15.75" customHeight="1">
      <c r="A30" s="198" t="s">
        <v>58</v>
      </c>
      <c r="B30" s="199" t="s">
        <v>216</v>
      </c>
      <c r="C30" s="200">
        <v>27.0</v>
      </c>
      <c r="D30" s="200">
        <v>30.0</v>
      </c>
      <c r="E30" s="201">
        <f t="shared" si="1"/>
        <v>0</v>
      </c>
      <c r="F30" s="201">
        <f t="shared" si="2"/>
        <v>0</v>
      </c>
      <c r="G30" s="202"/>
      <c r="H30" s="204"/>
    </row>
    <row r="31" ht="15.75" customHeight="1">
      <c r="A31" s="198" t="s">
        <v>60</v>
      </c>
      <c r="B31" s="199" t="s">
        <v>61</v>
      </c>
      <c r="C31" s="53">
        <v>68.0</v>
      </c>
      <c r="D31" s="200">
        <v>75.0</v>
      </c>
      <c r="E31" s="201">
        <f t="shared" si="1"/>
        <v>0</v>
      </c>
      <c r="F31" s="201">
        <f t="shared" si="2"/>
        <v>0</v>
      </c>
      <c r="G31" s="202"/>
      <c r="H31" s="206" t="str">
        <f>if(and(G31="x",G24=""),"Requires Premium Soft Top (STB)","")</f>
        <v/>
      </c>
    </row>
    <row r="32" ht="15.75" customHeight="1">
      <c r="A32" s="198" t="s">
        <v>62</v>
      </c>
      <c r="B32" s="199" t="s">
        <v>63</v>
      </c>
      <c r="C32" s="53">
        <v>446.0</v>
      </c>
      <c r="D32" s="200">
        <v>495.0</v>
      </c>
      <c r="E32" s="201">
        <f t="shared" si="1"/>
        <v>0</v>
      </c>
      <c r="F32" s="201">
        <f t="shared" si="2"/>
        <v>0</v>
      </c>
      <c r="G32" s="202"/>
      <c r="H32" s="204"/>
    </row>
    <row r="33" ht="15.75" customHeight="1">
      <c r="A33" s="198" t="s">
        <v>64</v>
      </c>
      <c r="B33" s="199" t="s">
        <v>149</v>
      </c>
      <c r="C33" s="280">
        <f>if(G23="X",0,316)</f>
        <v>316</v>
      </c>
      <c r="D33" s="280">
        <f>if(G23="X",0,350)</f>
        <v>350</v>
      </c>
      <c r="E33" s="201">
        <f t="shared" si="1"/>
        <v>0</v>
      </c>
      <c r="F33" s="201">
        <f t="shared" si="2"/>
        <v>0</v>
      </c>
      <c r="G33" s="202"/>
      <c r="H33" s="204"/>
    </row>
    <row r="34" ht="15.75" customHeight="1">
      <c r="A34" s="198" t="s">
        <v>150</v>
      </c>
      <c r="B34" s="199" t="s">
        <v>151</v>
      </c>
      <c r="C34" s="53">
        <v>266.0</v>
      </c>
      <c r="D34" s="200">
        <v>295.0</v>
      </c>
      <c r="E34" s="201">
        <f t="shared" si="1"/>
        <v>0</v>
      </c>
      <c r="F34" s="201">
        <f t="shared" si="2"/>
        <v>0</v>
      </c>
      <c r="G34" s="202"/>
      <c r="H34" s="206" t="str">
        <f>if(G34="x",if(or($G$32="x",$G$9="x"),"","Requires Alpine Premium Audio (RC4)or 8.4 Radio (AEK)"),"")</f>
        <v/>
      </c>
    </row>
    <row r="35">
      <c r="A35" s="198" t="s">
        <v>293</v>
      </c>
      <c r="B35" s="199" t="s">
        <v>218</v>
      </c>
      <c r="C35" s="280">
        <f>if(G23="x",0,1436)</f>
        <v>1436</v>
      </c>
      <c r="D35" s="280">
        <f>if(G23="x",0,1595)</f>
        <v>1595</v>
      </c>
      <c r="E35" s="201">
        <f t="shared" si="1"/>
        <v>0</v>
      </c>
      <c r="F35" s="201">
        <f t="shared" si="2"/>
        <v>0</v>
      </c>
      <c r="G35" s="202"/>
      <c r="H35" s="204"/>
    </row>
    <row r="36" ht="15.75" customHeight="1">
      <c r="A36" s="198" t="s">
        <v>66</v>
      </c>
      <c r="B36" s="199" t="s">
        <v>67</v>
      </c>
      <c r="C36" s="53">
        <v>896.0</v>
      </c>
      <c r="D36" s="53">
        <v>995.0</v>
      </c>
      <c r="E36" s="201">
        <f t="shared" si="1"/>
        <v>0</v>
      </c>
      <c r="F36" s="201">
        <f t="shared" si="2"/>
        <v>0</v>
      </c>
      <c r="G36" s="202"/>
      <c r="H36" s="52" t="str">
        <f>if(and(G27="x",or(G36="x",G37="x")),"N/A with Other Tonneau Options","")</f>
        <v/>
      </c>
    </row>
    <row r="37" ht="15.75" customHeight="1">
      <c r="A37" s="198" t="s">
        <v>68</v>
      </c>
      <c r="B37" s="199" t="s">
        <v>69</v>
      </c>
      <c r="C37" s="53">
        <v>530.0</v>
      </c>
      <c r="D37" s="53">
        <v>595.0</v>
      </c>
      <c r="E37" s="201">
        <f t="shared" si="1"/>
        <v>0</v>
      </c>
      <c r="F37" s="201">
        <f t="shared" si="2"/>
        <v>0</v>
      </c>
      <c r="G37" s="210"/>
      <c r="H37" s="48" t="str">
        <f>if(and(G27="x",or(G36="x",G37="x")),"N/A with Other Tonneau Options","")</f>
        <v/>
      </c>
    </row>
    <row r="38">
      <c r="A38" s="198"/>
      <c r="B38" s="199" t="s">
        <v>294</v>
      </c>
      <c r="C38" s="53">
        <v>220.0</v>
      </c>
      <c r="D38" s="53">
        <v>245.0</v>
      </c>
      <c r="E38" s="201">
        <f t="shared" si="1"/>
        <v>0</v>
      </c>
      <c r="F38" s="211">
        <f t="shared" si="2"/>
        <v>0</v>
      </c>
      <c r="G38" s="150"/>
      <c r="H38" s="57" t="s">
        <v>71</v>
      </c>
    </row>
    <row r="39" ht="15.75" customHeight="1">
      <c r="A39" s="212"/>
      <c r="B39" s="59" t="str">
        <f>'Mopar Add-Ons'!B24</f>
        <v>Total Mopar Add-On Cost</v>
      </c>
      <c r="C39" s="281"/>
      <c r="D39" s="281"/>
      <c r="E39" s="214">
        <f>'Mopar Add-Ons'!E24</f>
        <v>0</v>
      </c>
      <c r="F39" s="214">
        <f>'Mopar Add-Ons'!F24</f>
        <v>0</v>
      </c>
      <c r="G39" s="215"/>
      <c r="H39" s="64" t="str">
        <f>'Mopar Add-Ons'!H24</f>
        <v>Price pulled from sheet "Mopar Add-Ons"</v>
      </c>
    </row>
    <row r="40" ht="15.75" customHeight="1">
      <c r="A40" s="216"/>
      <c r="B40" s="217" t="s">
        <v>72</v>
      </c>
      <c r="C40" s="217"/>
      <c r="D40" s="217"/>
      <c r="E40" s="218">
        <f t="shared" ref="E40:F40" si="3">SUM(E3:E39)</f>
        <v>40475</v>
      </c>
      <c r="F40" s="218">
        <f t="shared" si="3"/>
        <v>42415</v>
      </c>
      <c r="G40" s="282"/>
      <c r="H40" s="282"/>
    </row>
    <row r="41">
      <c r="A41" s="72"/>
      <c r="B41" s="73" t="s">
        <v>73</v>
      </c>
      <c r="C41" s="74"/>
      <c r="D41" s="74"/>
      <c r="E41" s="75"/>
      <c r="F41" s="76">
        <f>F40+E56</f>
        <v>44037.075</v>
      </c>
      <c r="G41" s="77"/>
      <c r="H41" s="48"/>
    </row>
    <row r="42" ht="15.75" customHeight="1">
      <c r="A42" s="220"/>
      <c r="B42" s="220"/>
      <c r="C42" s="220"/>
      <c r="D42" s="220"/>
      <c r="E42" s="220"/>
      <c r="F42" s="220"/>
      <c r="G42" s="220"/>
      <c r="H42" s="283" t="s">
        <v>295</v>
      </c>
    </row>
    <row r="43" ht="15.0" customHeight="1">
      <c r="A43" s="222"/>
      <c r="B43" s="284" t="s">
        <v>23</v>
      </c>
      <c r="C43" s="285"/>
      <c r="D43" s="285">
        <f>F40</f>
        <v>42415</v>
      </c>
      <c r="E43" s="286"/>
      <c r="F43" s="287" t="s">
        <v>296</v>
      </c>
      <c r="G43" s="82"/>
      <c r="H43" s="288" t="s">
        <v>297</v>
      </c>
    </row>
    <row r="44" ht="15.75" customHeight="1">
      <c r="A44" s="222"/>
      <c r="B44" s="289" t="s">
        <v>22</v>
      </c>
      <c r="C44" s="290"/>
      <c r="D44" s="290">
        <f>E40</f>
        <v>40475</v>
      </c>
      <c r="E44" s="291"/>
      <c r="G44" s="84"/>
      <c r="H44" s="292" t="s">
        <v>298</v>
      </c>
    </row>
    <row r="45" ht="15.75" customHeight="1">
      <c r="A45" s="222"/>
      <c r="B45" s="289" t="s">
        <v>75</v>
      </c>
      <c r="C45" s="293">
        <v>0.03</v>
      </c>
      <c r="D45" s="294">
        <f>E40*(1-C45)</f>
        <v>39260.75</v>
      </c>
      <c r="E45" s="291"/>
      <c r="G45" s="84"/>
      <c r="H45" s="295"/>
    </row>
    <row r="46" ht="15.75" customHeight="1">
      <c r="A46" s="222"/>
      <c r="B46" s="296" t="s">
        <v>18</v>
      </c>
      <c r="C46" s="297"/>
      <c r="D46" s="298"/>
      <c r="E46" s="298"/>
      <c r="F46" s="90"/>
      <c r="G46" s="91"/>
      <c r="H46" s="295"/>
    </row>
    <row r="47" ht="15.75" customHeight="1">
      <c r="A47" s="222"/>
      <c r="B47" s="289" t="s">
        <v>76</v>
      </c>
      <c r="C47" s="290"/>
      <c r="D47" s="290">
        <v>1495.0</v>
      </c>
      <c r="E47" s="299">
        <f>(((SUM(((IF(E43="x",D43,0))+IF(E44="x",D44,0))+IF(E45="x",D45,0))+(IF(E46="x",D46,0))))+D47)</f>
        <v>1495</v>
      </c>
      <c r="F47" s="300"/>
      <c r="G47" s="301"/>
      <c r="H47" s="295"/>
    </row>
    <row r="48" ht="15.75" customHeight="1">
      <c r="A48" s="222"/>
      <c r="B48" s="289" t="s">
        <v>77</v>
      </c>
      <c r="C48" s="290"/>
      <c r="D48" s="290"/>
      <c r="E48" s="291"/>
      <c r="F48" s="302" t="s">
        <v>78</v>
      </c>
      <c r="G48" s="303"/>
      <c r="H48" s="295"/>
    </row>
    <row r="49" ht="15.75" customHeight="1">
      <c r="A49" s="222"/>
      <c r="B49" s="289" t="s">
        <v>79</v>
      </c>
      <c r="C49" s="290"/>
      <c r="D49" s="290"/>
      <c r="E49" s="291"/>
      <c r="F49" s="302" t="s">
        <v>80</v>
      </c>
      <c r="G49" s="303"/>
      <c r="H49" s="295"/>
    </row>
    <row r="50" ht="15.75" customHeight="1">
      <c r="A50" s="222"/>
      <c r="B50" s="289" t="s">
        <v>81</v>
      </c>
      <c r="C50" s="304"/>
      <c r="D50" s="304"/>
      <c r="E50" s="305"/>
      <c r="F50" s="302" t="s">
        <v>82</v>
      </c>
      <c r="G50" s="303"/>
      <c r="H50" s="295"/>
    </row>
    <row r="51" ht="15.75" customHeight="1">
      <c r="A51" s="225"/>
      <c r="B51" s="289" t="s">
        <v>83</v>
      </c>
      <c r="C51" s="304"/>
      <c r="D51" s="304"/>
      <c r="E51" s="305"/>
      <c r="F51" s="302" t="s">
        <v>84</v>
      </c>
      <c r="G51" s="303"/>
      <c r="H51" s="295"/>
    </row>
    <row r="52" ht="15.75" customHeight="1">
      <c r="A52" s="225"/>
      <c r="B52" s="306" t="s">
        <v>85</v>
      </c>
      <c r="C52" s="307"/>
      <c r="D52" s="308">
        <v>0.085</v>
      </c>
      <c r="E52" s="309">
        <f>(E47-E48+E50+E51)*D52</f>
        <v>127.075</v>
      </c>
      <c r="F52" s="302" t="s">
        <v>86</v>
      </c>
      <c r="G52" s="303"/>
      <c r="H52" s="295"/>
    </row>
    <row r="53" ht="15.75" customHeight="1">
      <c r="A53" s="225"/>
      <c r="B53" s="310" t="s">
        <v>87</v>
      </c>
      <c r="C53" s="311"/>
      <c r="D53" s="311"/>
      <c r="E53" s="312">
        <f>sum(E47-E48-E49+E50+E51+E52)</f>
        <v>1622.075</v>
      </c>
      <c r="F53" s="313"/>
      <c r="G53" s="314"/>
      <c r="H53" s="295"/>
    </row>
    <row r="54" ht="15.75" customHeight="1">
      <c r="A54" s="225"/>
      <c r="B54" s="315"/>
      <c r="C54" s="311"/>
      <c r="D54" s="311"/>
      <c r="E54" s="311"/>
      <c r="F54" s="314"/>
      <c r="G54" s="314"/>
      <c r="H54" s="295"/>
    </row>
    <row r="55" ht="15.75" customHeight="1">
      <c r="A55" s="225"/>
      <c r="B55" s="315"/>
      <c r="C55" s="316" t="s">
        <v>88</v>
      </c>
      <c r="D55" s="317"/>
      <c r="E55" s="318"/>
      <c r="F55" s="300"/>
      <c r="G55" s="300"/>
      <c r="H55" s="295"/>
    </row>
    <row r="56" ht="15.75" customHeight="1">
      <c r="A56" s="225"/>
      <c r="B56" s="319"/>
      <c r="C56" s="320" t="s">
        <v>89</v>
      </c>
      <c r="D56" s="290"/>
      <c r="E56" s="321">
        <f>E53</f>
        <v>1622.075</v>
      </c>
      <c r="F56" s="302" t="s">
        <v>90</v>
      </c>
      <c r="G56" s="303"/>
      <c r="H56" s="295"/>
    </row>
    <row r="57" ht="15.75" customHeight="1">
      <c r="A57" s="225"/>
      <c r="B57" s="319"/>
      <c r="C57" s="320" t="s">
        <v>91</v>
      </c>
      <c r="D57" s="290"/>
      <c r="E57" s="322">
        <v>0.049</v>
      </c>
      <c r="F57" s="302" t="s">
        <v>92</v>
      </c>
      <c r="G57" s="323"/>
      <c r="H57" s="295"/>
    </row>
    <row r="58" ht="15.75" customHeight="1">
      <c r="A58" s="227"/>
      <c r="B58" s="319"/>
      <c r="C58" s="324" t="s">
        <v>93</v>
      </c>
      <c r="D58" s="325"/>
      <c r="E58" s="326">
        <v>72.0</v>
      </c>
      <c r="F58" s="327" t="s">
        <v>94</v>
      </c>
      <c r="G58" s="323"/>
      <c r="H58" s="228"/>
    </row>
    <row r="59" ht="15.75" customHeight="1">
      <c r="A59" s="229"/>
      <c r="B59" s="328"/>
      <c r="C59" s="329" t="s">
        <v>95</v>
      </c>
      <c r="D59" s="311"/>
      <c r="E59" s="330">
        <f>PMT(E57/12,E58,-E56)</f>
        <v>26.0482338</v>
      </c>
      <c r="F59" s="331"/>
      <c r="G59" s="330"/>
      <c r="H59" s="228"/>
    </row>
    <row r="60" ht="15.75" customHeight="1">
      <c r="A60" s="114"/>
      <c r="B60" s="115"/>
      <c r="C60" s="115"/>
      <c r="D60" s="115"/>
      <c r="E60" s="115"/>
      <c r="F60" s="115"/>
      <c r="G60" s="115"/>
      <c r="H60" s="132"/>
    </row>
    <row r="61" ht="15.75" customHeight="1">
      <c r="A61" s="114"/>
      <c r="B61" s="115"/>
      <c r="C61" s="115"/>
      <c r="D61" s="115"/>
      <c r="E61" s="115"/>
      <c r="F61" s="115"/>
      <c r="G61" s="115"/>
      <c r="H61" s="132" t="s">
        <v>96</v>
      </c>
    </row>
    <row r="62" ht="15.75" customHeight="1">
      <c r="A62" s="114"/>
      <c r="B62" s="115"/>
      <c r="C62" s="115"/>
      <c r="D62" s="115"/>
      <c r="E62" s="115"/>
      <c r="F62" s="115"/>
      <c r="G62" s="115"/>
      <c r="H62" s="115"/>
    </row>
  </sheetData>
  <mergeCells count="1">
    <mergeCell ref="F43:G46"/>
  </mergeCells>
  <conditionalFormatting sqref="E4:E39">
    <cfRule type="expression" dxfId="8" priority="1">
      <formula>G4:G39="x"</formula>
    </cfRule>
  </conditionalFormatting>
  <conditionalFormatting sqref="C10">
    <cfRule type="expression" dxfId="0" priority="2">
      <formula>G7="x"</formula>
    </cfRule>
  </conditionalFormatting>
  <conditionalFormatting sqref="D10">
    <cfRule type="expression" dxfId="0" priority="3">
      <formula>G7="x"</formula>
    </cfRule>
  </conditionalFormatting>
  <conditionalFormatting sqref="G4">
    <cfRule type="expression" dxfId="10" priority="4">
      <formula>and(G29="x",G4="")</formula>
    </cfRule>
  </conditionalFormatting>
  <conditionalFormatting sqref="G4">
    <cfRule type="expression" dxfId="5" priority="5">
      <formula>and(G5="x",G4="x")</formula>
    </cfRule>
  </conditionalFormatting>
  <conditionalFormatting sqref="G5">
    <cfRule type="expression" dxfId="4" priority="6">
      <formula>and(G5="",G6="x")</formula>
    </cfRule>
  </conditionalFormatting>
  <conditionalFormatting sqref="A5">
    <cfRule type="expression" dxfId="7" priority="7">
      <formula>G4="x"</formula>
    </cfRule>
  </conditionalFormatting>
  <conditionalFormatting sqref="A6">
    <cfRule type="expression" dxfId="7" priority="8">
      <formula>G4="x"</formula>
    </cfRule>
  </conditionalFormatting>
  <conditionalFormatting sqref="B5">
    <cfRule type="expression" dxfId="7" priority="9">
      <formula>G4="x"</formula>
    </cfRule>
  </conditionalFormatting>
  <conditionalFormatting sqref="C5">
    <cfRule type="expression" dxfId="7" priority="10">
      <formula>G4="x"</formula>
    </cfRule>
  </conditionalFormatting>
  <conditionalFormatting sqref="D5">
    <cfRule type="expression" dxfId="7" priority="11">
      <formula>G4="x"</formula>
    </cfRule>
  </conditionalFormatting>
  <conditionalFormatting sqref="B6">
    <cfRule type="expression" dxfId="7" priority="12">
      <formula>G4="x"</formula>
    </cfRule>
  </conditionalFormatting>
  <conditionalFormatting sqref="C6">
    <cfRule type="expression" dxfId="7" priority="13">
      <formula>G4="x"</formula>
    </cfRule>
  </conditionalFormatting>
  <conditionalFormatting sqref="D6">
    <cfRule type="expression" dxfId="7" priority="14">
      <formula>G4="x"</formula>
    </cfRule>
  </conditionalFormatting>
  <conditionalFormatting sqref="G6">
    <cfRule type="expression" dxfId="4" priority="15">
      <formula>and(G5="x",G6="")</formula>
    </cfRule>
  </conditionalFormatting>
  <conditionalFormatting sqref="A4">
    <cfRule type="expression" dxfId="7" priority="16">
      <formula>and(G5="x")</formula>
    </cfRule>
  </conditionalFormatting>
  <conditionalFormatting sqref="B4">
    <cfRule type="expression" dxfId="7" priority="17">
      <formula>and(G5="x")</formula>
    </cfRule>
  </conditionalFormatting>
  <conditionalFormatting sqref="C4">
    <cfRule type="expression" dxfId="7" priority="18">
      <formula>and(G5="x")</formula>
    </cfRule>
  </conditionalFormatting>
  <conditionalFormatting sqref="D4">
    <cfRule type="expression" dxfId="7" priority="19">
      <formula>and(G5="x")</formula>
    </cfRule>
  </conditionalFormatting>
  <conditionalFormatting sqref="A7">
    <cfRule type="expression" dxfId="0" priority="20">
      <formula>G23="x"</formula>
    </cfRule>
  </conditionalFormatting>
  <conditionalFormatting sqref="A13">
    <cfRule type="expression" dxfId="0" priority="21">
      <formula>G23="x"</formula>
    </cfRule>
  </conditionalFormatting>
  <conditionalFormatting sqref="A33">
    <cfRule type="expression" dxfId="0" priority="22">
      <formula>G24="x"</formula>
    </cfRule>
  </conditionalFormatting>
  <conditionalFormatting sqref="A35">
    <cfRule type="expression" dxfId="2" priority="23">
      <formula>G23="x"</formula>
    </cfRule>
  </conditionalFormatting>
  <conditionalFormatting sqref="C35">
    <cfRule type="expression" dxfId="0" priority="24">
      <formula>G23="x"</formula>
    </cfRule>
  </conditionalFormatting>
  <conditionalFormatting sqref="D35">
    <cfRule type="expression" dxfId="0" priority="25">
      <formula>G23="x"</formula>
    </cfRule>
  </conditionalFormatting>
  <conditionalFormatting sqref="C33">
    <cfRule type="expression" dxfId="0" priority="26">
      <formula>G24="x"</formula>
    </cfRule>
  </conditionalFormatting>
  <conditionalFormatting sqref="D33">
    <cfRule type="expression" dxfId="0" priority="27">
      <formula>G24="x"</formula>
    </cfRule>
  </conditionalFormatting>
  <conditionalFormatting sqref="C13">
    <cfRule type="expression" dxfId="0" priority="28">
      <formula>G23="x"</formula>
    </cfRule>
  </conditionalFormatting>
  <conditionalFormatting sqref="D13">
    <cfRule type="expression" dxfId="0" priority="29">
      <formula>G23="x"</formula>
    </cfRule>
  </conditionalFormatting>
  <conditionalFormatting sqref="C7">
    <cfRule type="expression" dxfId="0" priority="30">
      <formula>G23="x"</formula>
    </cfRule>
  </conditionalFormatting>
  <conditionalFormatting sqref="D7">
    <cfRule type="expression" dxfId="0" priority="31">
      <formula>G23="x"</formula>
    </cfRule>
  </conditionalFormatting>
  <conditionalFormatting sqref="G13">
    <cfRule type="expression" dxfId="2" priority="32">
      <formula>and(G13="",or(G23="x",G17="x"),G14="")</formula>
    </cfRule>
  </conditionalFormatting>
  <conditionalFormatting sqref="G33">
    <cfRule type="expression" dxfId="2" priority="33">
      <formula>and(G23="x",G33="")</formula>
    </cfRule>
  </conditionalFormatting>
  <conditionalFormatting sqref="G35">
    <cfRule type="expression" dxfId="2" priority="34">
      <formula>and(G23="x",G35="")</formula>
    </cfRule>
  </conditionalFormatting>
  <conditionalFormatting sqref="G7">
    <cfRule type="expression" dxfId="2" priority="35">
      <formula>and(G23="x",G7="")</formula>
    </cfRule>
  </conditionalFormatting>
  <conditionalFormatting sqref="G28">
    <cfRule type="expression" dxfId="4" priority="36">
      <formula>and(G8="x",G28="")</formula>
    </cfRule>
  </conditionalFormatting>
  <conditionalFormatting sqref="G22">
    <cfRule type="expression" dxfId="4" priority="37">
      <formula>and(G20="x",G22="")</formula>
    </cfRule>
  </conditionalFormatting>
  <conditionalFormatting sqref="G22">
    <cfRule type="expression" dxfId="19" priority="38">
      <formula>and(G22="",G28="x")</formula>
    </cfRule>
  </conditionalFormatting>
  <conditionalFormatting sqref="C28">
    <cfRule type="expression" dxfId="19" priority="39">
      <formula>G22="x"</formula>
    </cfRule>
  </conditionalFormatting>
  <conditionalFormatting sqref="D28">
    <cfRule type="expression" dxfId="19" priority="40">
      <formula>G22="x"</formula>
    </cfRule>
  </conditionalFormatting>
  <conditionalFormatting sqref="G8">
    <cfRule type="expression" dxfId="23" priority="41">
      <formula>and(G8="x",G28="")</formula>
    </cfRule>
  </conditionalFormatting>
  <conditionalFormatting sqref="C11">
    <cfRule type="expression" dxfId="0" priority="42">
      <formula>G6="x"</formula>
    </cfRule>
  </conditionalFormatting>
  <conditionalFormatting sqref="D11">
    <cfRule type="expression" dxfId="0" priority="43">
      <formula>G6="x"</formula>
    </cfRule>
  </conditionalFormatting>
  <conditionalFormatting sqref="G7">
    <cfRule type="expression" dxfId="4" priority="44">
      <formula>and(G20="x",G7="")</formula>
    </cfRule>
  </conditionalFormatting>
  <conditionalFormatting sqref="G10">
    <cfRule type="expression" dxfId="2" priority="45">
      <formula>and(G7="x",G10="")</formula>
    </cfRule>
  </conditionalFormatting>
  <conditionalFormatting sqref="A29">
    <cfRule type="expression" dxfId="7" priority="46">
      <formula>G4=""</formula>
    </cfRule>
  </conditionalFormatting>
  <conditionalFormatting sqref="B29">
    <cfRule type="expression" dxfId="7" priority="47">
      <formula>G4=""</formula>
    </cfRule>
  </conditionalFormatting>
  <conditionalFormatting sqref="C29">
    <cfRule type="expression" dxfId="7" priority="48">
      <formula>G4=""</formula>
    </cfRule>
  </conditionalFormatting>
  <conditionalFormatting sqref="D29">
    <cfRule type="expression" dxfId="7" priority="49">
      <formula>G4=""</formula>
    </cfRule>
  </conditionalFormatting>
  <conditionalFormatting sqref="G24">
    <cfRule type="expression" dxfId="2" priority="50">
      <formula>and(G17="x",G24="")</formula>
    </cfRule>
  </conditionalFormatting>
  <conditionalFormatting sqref="H4:H39">
    <cfRule type="containsText" dxfId="0" priority="51" operator="containsText" text="Include">
      <formula>NOT(ISERROR(SEARCH(("Include"),(H4))))</formula>
    </cfRule>
  </conditionalFormatting>
  <conditionalFormatting sqref="H4:H39">
    <cfRule type="containsText" dxfId="5" priority="52" operator="containsText" text="Require">
      <formula>NOT(ISERROR(SEARCH(("Require"),(H4))))</formula>
    </cfRule>
  </conditionalFormatting>
  <conditionalFormatting sqref="H4:H39">
    <cfRule type="containsText" dxfId="5" priority="53" operator="containsText" text="N/A">
      <formula>NOT(ISERROR(SEARCH(("N/A"),(H4))))</formula>
    </cfRule>
  </conditionalFormatting>
  <conditionalFormatting sqref="G7">
    <cfRule type="expression" dxfId="10" priority="54">
      <formula>and(G34="x",G7="",G10="")</formula>
    </cfRule>
  </conditionalFormatting>
  <conditionalFormatting sqref="G10">
    <cfRule type="expression" dxfId="10" priority="55">
      <formula>and(G34="x",G7="",G10="")</formula>
    </cfRule>
  </conditionalFormatting>
  <conditionalFormatting sqref="G27">
    <cfRule type="expression" dxfId="5" priority="56">
      <formula>and(G17="x",G27="",G36="",G37="")</formula>
    </cfRule>
  </conditionalFormatting>
  <conditionalFormatting sqref="G36">
    <cfRule type="expression" dxfId="5" priority="57">
      <formula>and(G17="x",G27="",G36="",G37="")</formula>
    </cfRule>
  </conditionalFormatting>
  <conditionalFormatting sqref="G37">
    <cfRule type="expression" dxfId="5" priority="58">
      <formula>and(G17="x",G27="",G36="",G37="")</formula>
    </cfRule>
  </conditionalFormatting>
  <conditionalFormatting sqref="G13">
    <cfRule type="expression" dxfId="5" priority="59">
      <formula>and(G19="x",G13="",G14="")</formula>
    </cfRule>
  </conditionalFormatting>
  <conditionalFormatting sqref="G14">
    <cfRule type="expression" dxfId="6" priority="60">
      <formula>and(G19="x",G13="",G14="")</formula>
    </cfRule>
  </conditionalFormatting>
  <conditionalFormatting sqref="G24">
    <cfRule type="expression" dxfId="10" priority="61">
      <formula>and(G31="x",G24="")</formula>
    </cfRule>
  </conditionalFormatting>
  <conditionalFormatting sqref="G4">
    <cfRule type="expression" dxfId="10" priority="62">
      <formula>and(G26="x",G4="",G5="")</formula>
    </cfRule>
  </conditionalFormatting>
  <conditionalFormatting sqref="G16">
    <cfRule type="expression" dxfId="10" priority="63">
      <formula>and(G26="x",G16="")</formula>
    </cfRule>
  </conditionalFormatting>
  <conditionalFormatting sqref="G26">
    <cfRule type="expression" dxfId="2" priority="64">
      <formula>and(G16="x",G26="")</formula>
    </cfRule>
  </conditionalFormatting>
  <conditionalFormatting sqref="C26">
    <cfRule type="expression" dxfId="16" priority="65">
      <formula>G</formula>
    </cfRule>
  </conditionalFormatting>
  <conditionalFormatting sqref="C1:D40 C42:C59 D42:D44 D46:D59">
    <cfRule type="cellIs" dxfId="0" priority="66" operator="equal">
      <formula>0</formula>
    </cfRule>
  </conditionalFormatting>
  <conditionalFormatting sqref="H4:H39">
    <cfRule type="containsText" dxfId="5" priority="67" operator="containsText" text="Only">
      <formula>NOT(ISERROR(SEARCH(("Only"),(H4))))</formula>
    </cfRule>
  </conditionalFormatting>
  <conditionalFormatting sqref="H4:H39">
    <cfRule type="containsText" dxfId="6" priority="68" operator="containsText" text="Reduce">
      <formula>NOT(ISERROR(SEARCH(("Reduce"),(H4))))</formula>
    </cfRule>
  </conditionalFormatting>
  <conditionalFormatting sqref="B4:B39">
    <cfRule type="expression" dxfId="8" priority="69">
      <formula>G4:G39="x"</formula>
    </cfRule>
  </conditionalFormatting>
  <conditionalFormatting sqref="F4:F39">
    <cfRule type="expression" dxfId="8" priority="70">
      <formula>G4:G39="x"</formula>
    </cfRule>
  </conditionalFormatting>
  <conditionalFormatting sqref="E4:F39">
    <cfRule type="cellIs" dxfId="1" priority="71" operator="equal">
      <formula>0</formula>
    </cfRule>
  </conditionalFormatting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10.29"/>
    <col customWidth="1" min="2" max="2" width="39.29"/>
    <col customWidth="1" min="3" max="4" width="10.57"/>
    <col customWidth="1" min="5" max="6" width="14.57"/>
    <col customWidth="1" min="7" max="7" width="11.0"/>
    <col customWidth="1" min="8" max="8" width="57.14"/>
  </cols>
  <sheetData>
    <row r="1" ht="15.75" customHeight="1">
      <c r="A1" s="187"/>
      <c r="B1" s="187" t="s">
        <v>19</v>
      </c>
      <c r="C1" s="187"/>
      <c r="D1" s="187"/>
      <c r="E1" s="187"/>
      <c r="F1" s="187"/>
      <c r="G1" s="187"/>
      <c r="H1" s="28" t="s">
        <v>13</v>
      </c>
    </row>
    <row r="2">
      <c r="A2" s="265" t="s">
        <v>109</v>
      </c>
      <c r="B2" s="266" t="s">
        <v>21</v>
      </c>
      <c r="C2" s="267" t="s">
        <v>193</v>
      </c>
      <c r="D2" s="267" t="s">
        <v>23</v>
      </c>
      <c r="E2" s="268" t="s">
        <v>285</v>
      </c>
      <c r="F2" s="268" t="s">
        <v>286</v>
      </c>
      <c r="G2" s="269" t="s">
        <v>26</v>
      </c>
      <c r="H2" s="270" t="s">
        <v>194</v>
      </c>
    </row>
    <row r="3">
      <c r="A3" s="192" t="s">
        <v>288</v>
      </c>
      <c r="B3" s="271" t="s">
        <v>289</v>
      </c>
      <c r="C3" s="194">
        <v>48669.0</v>
      </c>
      <c r="D3" s="194">
        <v>51520.0</v>
      </c>
      <c r="E3" s="195">
        <f t="shared" ref="E3:E37" si="1">IF(G3="x",C3,0)</f>
        <v>48669</v>
      </c>
      <c r="F3" s="195">
        <f t="shared" ref="F3:F37" si="2">IF(G3="x",D3,0)</f>
        <v>51520</v>
      </c>
      <c r="G3" s="272" t="s">
        <v>30</v>
      </c>
      <c r="H3" s="197" t="s">
        <v>31</v>
      </c>
    </row>
    <row r="4">
      <c r="A4" s="145" t="s">
        <v>32</v>
      </c>
      <c r="B4" s="146" t="s">
        <v>113</v>
      </c>
      <c r="C4" s="41">
        <v>0.0</v>
      </c>
      <c r="D4" s="41">
        <v>0.0</v>
      </c>
      <c r="E4" s="43">
        <f t="shared" si="1"/>
        <v>0</v>
      </c>
      <c r="F4" s="43">
        <f t="shared" si="2"/>
        <v>0</v>
      </c>
      <c r="G4" s="44"/>
      <c r="H4" s="147" t="str">
        <f>if(and(G4="x",G5="x"),"N/A with multiple Transmission selections","")</f>
        <v/>
      </c>
    </row>
    <row r="5">
      <c r="A5" s="39" t="s">
        <v>34</v>
      </c>
      <c r="B5" s="148" t="s">
        <v>35</v>
      </c>
      <c r="C5" s="46">
        <v>0.0</v>
      </c>
      <c r="D5" s="46">
        <v>0.0</v>
      </c>
      <c r="E5" s="43">
        <f t="shared" si="1"/>
        <v>0</v>
      </c>
      <c r="F5" s="43">
        <f t="shared" si="2"/>
        <v>0</v>
      </c>
      <c r="G5" s="44"/>
      <c r="H5" s="47" t="str">
        <f>if(and(G5="x",G7=""),"Requires V6 Turbo","")</f>
        <v/>
      </c>
    </row>
    <row r="6" ht="15.75" customHeight="1">
      <c r="A6" s="39" t="s">
        <v>36</v>
      </c>
      <c r="B6" s="40" t="s">
        <v>37</v>
      </c>
      <c r="C6" s="46">
        <v>3600.0</v>
      </c>
      <c r="D6" s="46">
        <v>4000.0</v>
      </c>
      <c r="E6" s="43">
        <f t="shared" si="1"/>
        <v>0</v>
      </c>
      <c r="F6" s="43">
        <f t="shared" si="2"/>
        <v>0</v>
      </c>
      <c r="G6" s="44"/>
      <c r="H6" s="47" t="str">
        <f>if(and(G6="x",G5=""),"Requires DFV 8-Speed Transmission","")</f>
        <v/>
      </c>
    </row>
    <row r="7">
      <c r="A7" s="273" t="s">
        <v>114</v>
      </c>
      <c r="B7" s="274" t="s">
        <v>199</v>
      </c>
      <c r="C7" s="332">
        <v>0.0</v>
      </c>
      <c r="D7" s="332">
        <v>0.0</v>
      </c>
      <c r="E7" s="201">
        <f t="shared" si="1"/>
        <v>0</v>
      </c>
      <c r="F7" s="201">
        <f t="shared" si="2"/>
        <v>0</v>
      </c>
      <c r="G7" s="333" t="s">
        <v>30</v>
      </c>
      <c r="H7" s="206" t="s">
        <v>299</v>
      </c>
    </row>
    <row r="8">
      <c r="A8" s="198" t="s">
        <v>116</v>
      </c>
      <c r="B8" s="199" t="s">
        <v>117</v>
      </c>
      <c r="C8" s="53">
        <v>716.0</v>
      </c>
      <c r="D8" s="200">
        <v>795.0</v>
      </c>
      <c r="E8" s="201">
        <f t="shared" si="1"/>
        <v>0</v>
      </c>
      <c r="F8" s="201">
        <f t="shared" si="2"/>
        <v>0</v>
      </c>
      <c r="G8" s="202"/>
      <c r="H8" s="206" t="str">
        <f>if(and(G8="x",G28=""),"Requires Safety Group (AJ1)","")</f>
        <v/>
      </c>
    </row>
    <row r="9">
      <c r="A9" s="198" t="s">
        <v>38</v>
      </c>
      <c r="B9" s="199" t="s">
        <v>118</v>
      </c>
      <c r="C9" s="53">
        <v>149.0</v>
      </c>
      <c r="D9" s="53">
        <v>165.0</v>
      </c>
      <c r="E9" s="201">
        <f t="shared" si="1"/>
        <v>0</v>
      </c>
      <c r="F9" s="201">
        <f t="shared" si="2"/>
        <v>0</v>
      </c>
      <c r="G9" s="202"/>
      <c r="H9" s="204"/>
    </row>
    <row r="10" ht="15.75" customHeight="1">
      <c r="A10" s="39" t="s">
        <v>119</v>
      </c>
      <c r="B10" s="148" t="s">
        <v>120</v>
      </c>
      <c r="C10" s="332">
        <f>if(G7="x",0,1166)</f>
        <v>0</v>
      </c>
      <c r="D10" s="332">
        <f>if(G7="x",0,1295)</f>
        <v>0</v>
      </c>
      <c r="E10" s="43">
        <f t="shared" si="1"/>
        <v>0</v>
      </c>
      <c r="F10" s="43">
        <f t="shared" si="2"/>
        <v>0</v>
      </c>
      <c r="G10" s="334" t="s">
        <v>30</v>
      </c>
      <c r="H10" s="206" t="s">
        <v>299</v>
      </c>
    </row>
    <row r="11" ht="15.75" customHeight="1">
      <c r="A11" s="198" t="s">
        <v>40</v>
      </c>
      <c r="B11" s="199" t="s">
        <v>290</v>
      </c>
      <c r="C11" s="53">
        <f>if(G6="x",0,536)</f>
        <v>536</v>
      </c>
      <c r="D11" s="200">
        <f>if(G6="x",0,595)</f>
        <v>595</v>
      </c>
      <c r="E11" s="201">
        <f t="shared" si="1"/>
        <v>0</v>
      </c>
      <c r="F11" s="201">
        <f t="shared" si="2"/>
        <v>0</v>
      </c>
      <c r="G11" s="202"/>
      <c r="H11" s="51" t="str">
        <f>if(G6="x","Included with V6 Turbo Diesel (EXJ)","")</f>
        <v/>
      </c>
    </row>
    <row r="12">
      <c r="A12" s="198" t="s">
        <v>42</v>
      </c>
      <c r="B12" s="199" t="s">
        <v>122</v>
      </c>
      <c r="C12" s="53">
        <v>266.0</v>
      </c>
      <c r="D12" s="200">
        <v>295.0</v>
      </c>
      <c r="E12" s="201">
        <f t="shared" si="1"/>
        <v>0</v>
      </c>
      <c r="F12" s="201">
        <f t="shared" si="2"/>
        <v>0</v>
      </c>
      <c r="G12" s="202"/>
      <c r="H12" s="204"/>
    </row>
    <row r="13">
      <c r="A13" s="198" t="s">
        <v>44</v>
      </c>
      <c r="B13" s="199" t="s">
        <v>123</v>
      </c>
      <c r="C13" s="205">
        <f>if(G17="x",0,1256)</f>
        <v>1256</v>
      </c>
      <c r="D13" s="205">
        <f>if(G17="x",0,1395)</f>
        <v>1395</v>
      </c>
      <c r="E13" s="201">
        <f t="shared" si="1"/>
        <v>0</v>
      </c>
      <c r="F13" s="201">
        <f t="shared" si="2"/>
        <v>0</v>
      </c>
      <c r="G13" s="202"/>
      <c r="H13" s="208" t="str">
        <f>if(and(G13="",G18="x"),"Included with Dual Top Group (AEN)",if(and(G13="x",G14="x"),"Only 1; Black Hard-Top (HT1) or Body Color Hard-Top (HT3)",""))</f>
        <v/>
      </c>
    </row>
    <row r="14">
      <c r="A14" s="198" t="s">
        <v>201</v>
      </c>
      <c r="B14" s="199" t="s">
        <v>202</v>
      </c>
      <c r="C14" s="332">
        <v>0.0</v>
      </c>
      <c r="D14" s="332">
        <v>0.0</v>
      </c>
      <c r="E14" s="201">
        <f t="shared" si="1"/>
        <v>0</v>
      </c>
      <c r="F14" s="201">
        <f t="shared" si="2"/>
        <v>0</v>
      </c>
      <c r="G14" s="333" t="s">
        <v>30</v>
      </c>
      <c r="H14" s="206" t="s">
        <v>299</v>
      </c>
    </row>
    <row r="15">
      <c r="A15" s="198" t="s">
        <v>124</v>
      </c>
      <c r="B15" s="199" t="s">
        <v>205</v>
      </c>
      <c r="C15" s="53">
        <v>806.0</v>
      </c>
      <c r="D15" s="200">
        <v>895.0</v>
      </c>
      <c r="E15" s="201">
        <f t="shared" si="1"/>
        <v>0</v>
      </c>
      <c r="F15" s="201">
        <f t="shared" si="2"/>
        <v>0</v>
      </c>
      <c r="G15" s="202"/>
      <c r="H15" s="204"/>
    </row>
    <row r="16">
      <c r="A16" s="198" t="s">
        <v>126</v>
      </c>
      <c r="B16" s="199" t="s">
        <v>127</v>
      </c>
      <c r="C16" s="205">
        <f>if(or(G4="x",G5="x"),896,626)</f>
        <v>626</v>
      </c>
      <c r="D16" s="205">
        <f>if(or(G4="x",G5="x"),995,695)</f>
        <v>695</v>
      </c>
      <c r="E16" s="201">
        <f t="shared" si="1"/>
        <v>0</v>
      </c>
      <c r="F16" s="201">
        <f t="shared" si="2"/>
        <v>0</v>
      </c>
      <c r="G16" s="202"/>
      <c r="H16" s="277"/>
    </row>
    <row r="17">
      <c r="A17" s="198" t="s">
        <v>130</v>
      </c>
      <c r="B17" s="199" t="s">
        <v>131</v>
      </c>
      <c r="C17" s="205">
        <f>if(G18="x",990,2156)</f>
        <v>2156</v>
      </c>
      <c r="D17" s="205">
        <f>if(G18="x",1100,2395)</f>
        <v>2395</v>
      </c>
      <c r="E17" s="201">
        <f t="shared" si="1"/>
        <v>0</v>
      </c>
      <c r="F17" s="201">
        <f t="shared" si="2"/>
        <v>0</v>
      </c>
      <c r="G17" s="202"/>
      <c r="H17" s="236" t="str">
        <f>if(and(G17="x",G26="",G35="",G36=""),"Requires Tonneau option; Roll-Up (CSD), Hard Tri-Fold (CSU) or Soft Tri-Fold (CT6)","")</f>
        <v/>
      </c>
    </row>
    <row r="18">
      <c r="A18" s="198" t="s">
        <v>48</v>
      </c>
      <c r="B18" s="199" t="s">
        <v>49</v>
      </c>
      <c r="C18" s="53">
        <v>86.0</v>
      </c>
      <c r="D18" s="200">
        <v>95.0</v>
      </c>
      <c r="E18" s="201">
        <f t="shared" si="1"/>
        <v>0</v>
      </c>
      <c r="F18" s="201">
        <f t="shared" si="2"/>
        <v>0</v>
      </c>
      <c r="G18" s="202"/>
      <c r="H18" s="204"/>
    </row>
    <row r="19">
      <c r="A19" s="198" t="s">
        <v>134</v>
      </c>
      <c r="B19" s="199" t="s">
        <v>135</v>
      </c>
      <c r="C19" s="53">
        <v>500.0</v>
      </c>
      <c r="D19" s="200">
        <v>555.0</v>
      </c>
      <c r="E19" s="201">
        <f t="shared" si="1"/>
        <v>0</v>
      </c>
      <c r="F19" s="201">
        <f t="shared" si="2"/>
        <v>0</v>
      </c>
      <c r="G19" s="202"/>
      <c r="H19" s="206" t="str">
        <f>if(and(G19="x",AND(G13="",G14="")),"Requires Body Color (HT3) or Black (HT1) Hardtop","")</f>
        <v/>
      </c>
    </row>
    <row r="20">
      <c r="A20" s="198" t="s">
        <v>206</v>
      </c>
      <c r="B20" s="199" t="s">
        <v>291</v>
      </c>
      <c r="C20" s="275">
        <v>536.0</v>
      </c>
      <c r="D20" s="275">
        <v>595.0</v>
      </c>
      <c r="E20" s="201">
        <f t="shared" si="1"/>
        <v>0</v>
      </c>
      <c r="F20" s="201">
        <f t="shared" si="2"/>
        <v>0</v>
      </c>
      <c r="G20" s="202"/>
      <c r="H20" s="277" t="str">
        <f>if(and(G20="x",or(G22="",G7="")),"Requires LED Lighting (AD6) and 8.4 Radio (AEK)","")</f>
        <v/>
      </c>
    </row>
    <row r="21">
      <c r="A21" s="39" t="s">
        <v>50</v>
      </c>
      <c r="B21" s="148" t="s">
        <v>51</v>
      </c>
      <c r="C21" s="41">
        <v>180.0</v>
      </c>
      <c r="D21" s="41">
        <v>200.0</v>
      </c>
      <c r="E21" s="43">
        <f t="shared" si="1"/>
        <v>0</v>
      </c>
      <c r="F21" s="43">
        <f t="shared" si="2"/>
        <v>0</v>
      </c>
      <c r="G21" s="44"/>
      <c r="H21" s="52"/>
    </row>
    <row r="22">
      <c r="A22" s="198" t="s">
        <v>208</v>
      </c>
      <c r="B22" s="199" t="s">
        <v>209</v>
      </c>
      <c r="C22" s="332">
        <v>0.0</v>
      </c>
      <c r="D22" s="332">
        <v>0.0</v>
      </c>
      <c r="E22" s="201">
        <f t="shared" si="1"/>
        <v>0</v>
      </c>
      <c r="F22" s="201">
        <f t="shared" si="2"/>
        <v>0</v>
      </c>
      <c r="G22" s="333" t="s">
        <v>30</v>
      </c>
      <c r="H22" s="206" t="s">
        <v>299</v>
      </c>
    </row>
    <row r="23">
      <c r="A23" s="198" t="s">
        <v>138</v>
      </c>
      <c r="B23" s="199" t="s">
        <v>292</v>
      </c>
      <c r="C23" s="278">
        <f>if(G17="x",0,536)</f>
        <v>536</v>
      </c>
      <c r="D23" s="278">
        <f>if(G17="x",0,595)</f>
        <v>595</v>
      </c>
      <c r="E23" s="201">
        <f t="shared" si="1"/>
        <v>0</v>
      </c>
      <c r="F23" s="201">
        <f t="shared" si="2"/>
        <v>0</v>
      </c>
      <c r="G23" s="202"/>
      <c r="H23" s="204" t="str">
        <f>if(G17="x","Included with Dual Top Group (AEN)","")</f>
        <v/>
      </c>
    </row>
    <row r="24" ht="15.75" customHeight="1">
      <c r="A24" s="198" t="s">
        <v>212</v>
      </c>
      <c r="B24" s="199" t="s">
        <v>213</v>
      </c>
      <c r="C24" s="332">
        <v>0.0</v>
      </c>
      <c r="D24" s="332">
        <v>0.0</v>
      </c>
      <c r="E24" s="201">
        <f t="shared" si="1"/>
        <v>0</v>
      </c>
      <c r="F24" s="201">
        <f t="shared" si="2"/>
        <v>0</v>
      </c>
      <c r="G24" s="333" t="s">
        <v>30</v>
      </c>
      <c r="H24" s="206" t="s">
        <v>299</v>
      </c>
    </row>
    <row r="25" ht="15.75" customHeight="1">
      <c r="A25" s="198" t="s">
        <v>214</v>
      </c>
      <c r="B25" s="279" t="s">
        <v>215</v>
      </c>
      <c r="C25" s="278">
        <f>if(G16="x",0,490)</f>
        <v>490</v>
      </c>
      <c r="D25" s="278">
        <f>if(G16="x",0,545)</f>
        <v>545</v>
      </c>
      <c r="E25" s="201">
        <f t="shared" si="1"/>
        <v>0</v>
      </c>
      <c r="F25" s="201">
        <f t="shared" si="2"/>
        <v>0</v>
      </c>
      <c r="G25" s="202"/>
      <c r="H25" s="206" t="str">
        <f>if(G25="x",if(AND(G4="",G5=""),"Requires Automatic Transmission (DFT) or (DFV).",if(G16="x","Included with Cold Weather (ADE)","")),"")</f>
        <v/>
      </c>
    </row>
    <row r="26" ht="15.75" customHeight="1">
      <c r="A26" s="198" t="s">
        <v>54</v>
      </c>
      <c r="B26" s="199" t="s">
        <v>55</v>
      </c>
      <c r="C26" s="53">
        <v>536.0</v>
      </c>
      <c r="D26" s="53">
        <v>595.0</v>
      </c>
      <c r="E26" s="201">
        <f t="shared" si="1"/>
        <v>0</v>
      </c>
      <c r="F26" s="201">
        <f t="shared" si="2"/>
        <v>0</v>
      </c>
      <c r="G26" s="202"/>
      <c r="H26" s="52" t="str">
        <f>if(and(G26="x",or(G35="x",G36="x")),"N/A with Other Tonneau Options","")</f>
        <v/>
      </c>
    </row>
    <row r="27">
      <c r="A27" s="198" t="s">
        <v>140</v>
      </c>
      <c r="B27" s="199" t="s">
        <v>141</v>
      </c>
      <c r="C27" s="332">
        <v>0.0</v>
      </c>
      <c r="D27" s="332">
        <v>0.0</v>
      </c>
      <c r="E27" s="201">
        <f t="shared" si="1"/>
        <v>0</v>
      </c>
      <c r="F27" s="201">
        <f t="shared" si="2"/>
        <v>0</v>
      </c>
      <c r="G27" s="333" t="s">
        <v>30</v>
      </c>
      <c r="H27" s="206" t="s">
        <v>299</v>
      </c>
    </row>
    <row r="28" ht="15.75" customHeight="1">
      <c r="A28" s="39" t="s">
        <v>142</v>
      </c>
      <c r="B28" s="40" t="s">
        <v>143</v>
      </c>
      <c r="C28" s="41">
        <v>626.0</v>
      </c>
      <c r="D28" s="41">
        <v>695.0</v>
      </c>
      <c r="E28" s="43">
        <f t="shared" si="1"/>
        <v>0</v>
      </c>
      <c r="F28" s="43">
        <f t="shared" si="2"/>
        <v>0</v>
      </c>
      <c r="G28" s="44"/>
      <c r="H28" s="149" t="str">
        <f>if(G4="","Requires 8-Speed Automatic 850Re Transmission (DFT)","")</f>
        <v>Requires 8-Speed Automatic 850Re Transmission (DFT)</v>
      </c>
    </row>
    <row r="29" ht="15.75" customHeight="1">
      <c r="A29" s="198" t="s">
        <v>58</v>
      </c>
      <c r="B29" s="199" t="s">
        <v>216</v>
      </c>
      <c r="C29" s="200">
        <v>27.0</v>
      </c>
      <c r="D29" s="200">
        <v>30.0</v>
      </c>
      <c r="E29" s="201">
        <f t="shared" si="1"/>
        <v>0</v>
      </c>
      <c r="F29" s="201">
        <f t="shared" si="2"/>
        <v>0</v>
      </c>
      <c r="G29" s="202"/>
      <c r="H29" s="204"/>
    </row>
    <row r="30" ht="15.75" customHeight="1">
      <c r="A30" s="198" t="s">
        <v>60</v>
      </c>
      <c r="B30" s="199" t="s">
        <v>61</v>
      </c>
      <c r="C30" s="53">
        <v>68.0</v>
      </c>
      <c r="D30" s="200">
        <v>75.0</v>
      </c>
      <c r="E30" s="201">
        <f t="shared" si="1"/>
        <v>0</v>
      </c>
      <c r="F30" s="201">
        <f t="shared" si="2"/>
        <v>0</v>
      </c>
      <c r="G30" s="202"/>
      <c r="H30" s="206" t="str">
        <f>if(and(G30="x",G23=""),"Requires Premium Soft Top (STB)","")</f>
        <v/>
      </c>
    </row>
    <row r="31" ht="15.75" customHeight="1">
      <c r="A31" s="198" t="s">
        <v>62</v>
      </c>
      <c r="B31" s="199" t="s">
        <v>63</v>
      </c>
      <c r="C31" s="53">
        <v>446.0</v>
      </c>
      <c r="D31" s="200">
        <v>495.0</v>
      </c>
      <c r="E31" s="201">
        <f t="shared" si="1"/>
        <v>0</v>
      </c>
      <c r="F31" s="201">
        <f t="shared" si="2"/>
        <v>0</v>
      </c>
      <c r="G31" s="202"/>
      <c r="H31" s="204"/>
    </row>
    <row r="32" ht="15.75" customHeight="1">
      <c r="A32" s="198" t="s">
        <v>64</v>
      </c>
      <c r="B32" s="199" t="s">
        <v>149</v>
      </c>
      <c r="C32" s="275">
        <v>316.0</v>
      </c>
      <c r="D32" s="275">
        <v>350.0</v>
      </c>
      <c r="E32" s="201">
        <f t="shared" si="1"/>
        <v>0</v>
      </c>
      <c r="F32" s="201">
        <f t="shared" si="2"/>
        <v>0</v>
      </c>
      <c r="G32" s="202"/>
      <c r="H32" s="204"/>
    </row>
    <row r="33" ht="15.75" customHeight="1">
      <c r="A33" s="198" t="s">
        <v>150</v>
      </c>
      <c r="B33" s="199" t="s">
        <v>151</v>
      </c>
      <c r="C33" s="53">
        <v>266.0</v>
      </c>
      <c r="D33" s="200">
        <v>295.0</v>
      </c>
      <c r="E33" s="201">
        <f t="shared" si="1"/>
        <v>0</v>
      </c>
      <c r="F33" s="201">
        <f t="shared" si="2"/>
        <v>0</v>
      </c>
      <c r="G33" s="202"/>
      <c r="H33" s="206" t="str">
        <f>if(G33="x",if(or($G$31="x",$G$9="x"),"","Requires Alpine Premium Audio (RC4)or 8.4 Radio (AEK)"),"")</f>
        <v/>
      </c>
    </row>
    <row r="34">
      <c r="A34" s="198" t="s">
        <v>293</v>
      </c>
      <c r="B34" s="199" t="s">
        <v>218</v>
      </c>
      <c r="C34" s="332">
        <v>0.0</v>
      </c>
      <c r="D34" s="332">
        <v>0.0</v>
      </c>
      <c r="E34" s="201">
        <f t="shared" si="1"/>
        <v>0</v>
      </c>
      <c r="F34" s="201">
        <f t="shared" si="2"/>
        <v>0</v>
      </c>
      <c r="G34" s="333" t="s">
        <v>30</v>
      </c>
      <c r="H34" s="206" t="s">
        <v>299</v>
      </c>
    </row>
    <row r="35" ht="15.75" customHeight="1">
      <c r="A35" s="198" t="s">
        <v>66</v>
      </c>
      <c r="B35" s="199" t="s">
        <v>67</v>
      </c>
      <c r="C35" s="53">
        <v>896.0</v>
      </c>
      <c r="D35" s="53">
        <v>995.0</v>
      </c>
      <c r="E35" s="201">
        <f t="shared" si="1"/>
        <v>0</v>
      </c>
      <c r="F35" s="201">
        <f t="shared" si="2"/>
        <v>0</v>
      </c>
      <c r="G35" s="202"/>
      <c r="H35" s="52" t="str">
        <f>if(and(G26="x",or(G35="x",G36="x")),"N/A with Other Tonneau Options","")</f>
        <v/>
      </c>
    </row>
    <row r="36" ht="15.75" customHeight="1">
      <c r="A36" s="198" t="s">
        <v>68</v>
      </c>
      <c r="B36" s="199" t="s">
        <v>69</v>
      </c>
      <c r="C36" s="53">
        <v>530.0</v>
      </c>
      <c r="D36" s="53">
        <v>595.0</v>
      </c>
      <c r="E36" s="201">
        <f t="shared" si="1"/>
        <v>0</v>
      </c>
      <c r="F36" s="201">
        <f t="shared" si="2"/>
        <v>0</v>
      </c>
      <c r="G36" s="210"/>
      <c r="H36" s="48" t="str">
        <f>if(and(G26="x",or(G35="x",G36="x")),"N/A with Other Tonneau Options","")</f>
        <v/>
      </c>
    </row>
    <row r="37">
      <c r="A37" s="198"/>
      <c r="B37" s="199" t="s">
        <v>294</v>
      </c>
      <c r="C37" s="53">
        <v>220.0</v>
      </c>
      <c r="D37" s="53">
        <v>245.0</v>
      </c>
      <c r="E37" s="201">
        <f t="shared" si="1"/>
        <v>0</v>
      </c>
      <c r="F37" s="211">
        <f t="shared" si="2"/>
        <v>0</v>
      </c>
      <c r="G37" s="150"/>
      <c r="H37" s="57" t="s">
        <v>71</v>
      </c>
    </row>
    <row r="38" ht="15.75" customHeight="1">
      <c r="A38" s="212"/>
      <c r="B38" s="59" t="str">
        <f>'Mopar Add-Ons'!B24</f>
        <v>Total Mopar Add-On Cost</v>
      </c>
      <c r="C38" s="281"/>
      <c r="D38" s="281"/>
      <c r="E38" s="214">
        <f>'Mopar Add-Ons'!E24</f>
        <v>0</v>
      </c>
      <c r="F38" s="214">
        <f>'Mopar Add-Ons'!F24</f>
        <v>0</v>
      </c>
      <c r="G38" s="215"/>
      <c r="H38" s="64" t="str">
        <f>'Mopar Add-Ons'!H24</f>
        <v>Price pulled from sheet "Mopar Add-Ons"</v>
      </c>
    </row>
    <row r="39" ht="15.75" customHeight="1">
      <c r="A39" s="216"/>
      <c r="B39" s="217" t="s">
        <v>72</v>
      </c>
      <c r="C39" s="217"/>
      <c r="D39" s="217"/>
      <c r="E39" s="218">
        <f t="shared" ref="E39:F39" si="3">SUM(E3:E38)</f>
        <v>48669</v>
      </c>
      <c r="F39" s="218">
        <f t="shared" si="3"/>
        <v>51520</v>
      </c>
      <c r="G39" s="282"/>
      <c r="H39" s="282"/>
    </row>
    <row r="40">
      <c r="A40" s="72"/>
      <c r="B40" s="73" t="s">
        <v>73</v>
      </c>
      <c r="C40" s="74"/>
      <c r="D40" s="74"/>
      <c r="E40" s="75"/>
      <c r="F40" s="76">
        <f>F39+E55</f>
        <v>53142.075</v>
      </c>
      <c r="G40" s="77"/>
      <c r="H40" s="48"/>
    </row>
    <row r="41" ht="15.75" customHeight="1">
      <c r="A41" s="220"/>
      <c r="B41" s="220"/>
      <c r="C41" s="220"/>
      <c r="D41" s="220"/>
      <c r="E41" s="220"/>
      <c r="F41" s="220"/>
      <c r="G41" s="220"/>
      <c r="H41" s="283" t="s">
        <v>295</v>
      </c>
    </row>
    <row r="42" ht="15.0" customHeight="1">
      <c r="A42" s="222"/>
      <c r="B42" s="284" t="s">
        <v>23</v>
      </c>
      <c r="C42" s="285"/>
      <c r="D42" s="285">
        <f>F39</f>
        <v>51520</v>
      </c>
      <c r="E42" s="286"/>
      <c r="F42" s="287" t="s">
        <v>300</v>
      </c>
      <c r="G42" s="82"/>
      <c r="H42" s="335" t="s">
        <v>301</v>
      </c>
    </row>
    <row r="43" ht="15.75" customHeight="1">
      <c r="A43" s="222"/>
      <c r="B43" s="289" t="s">
        <v>22</v>
      </c>
      <c r="C43" s="290"/>
      <c r="D43" s="290">
        <f>E39</f>
        <v>48669</v>
      </c>
      <c r="E43" s="291"/>
      <c r="G43" s="84"/>
      <c r="H43" s="336" t="s">
        <v>302</v>
      </c>
    </row>
    <row r="44" ht="15.75" customHeight="1">
      <c r="A44" s="222"/>
      <c r="B44" s="289" t="s">
        <v>75</v>
      </c>
      <c r="C44" s="293">
        <v>0.03</v>
      </c>
      <c r="D44" s="294">
        <f>E39*(1-C44)</f>
        <v>47208.93</v>
      </c>
      <c r="E44" s="291"/>
      <c r="G44" s="84"/>
      <c r="H44" s="336" t="s">
        <v>303</v>
      </c>
    </row>
    <row r="45" ht="15.75" customHeight="1">
      <c r="A45" s="222"/>
      <c r="B45" s="296" t="s">
        <v>18</v>
      </c>
      <c r="C45" s="297"/>
      <c r="D45" s="298"/>
      <c r="E45" s="298"/>
      <c r="F45" s="90"/>
      <c r="G45" s="91"/>
      <c r="H45" s="336" t="s">
        <v>304</v>
      </c>
    </row>
    <row r="46" ht="15.75" customHeight="1">
      <c r="A46" s="222"/>
      <c r="B46" s="289" t="s">
        <v>76</v>
      </c>
      <c r="C46" s="290"/>
      <c r="D46" s="290">
        <v>1495.0</v>
      </c>
      <c r="E46" s="299">
        <f>(((SUM(((IF(E42="x",D42,0))+IF(E43="x",D43,0))+IF(E44="x",D44,0))+(IF(E45="x",D45,0))))+D46)</f>
        <v>1495</v>
      </c>
      <c r="F46" s="300"/>
      <c r="G46" s="301"/>
      <c r="H46" s="336" t="s">
        <v>305</v>
      </c>
    </row>
    <row r="47" ht="15.75" customHeight="1">
      <c r="A47" s="222"/>
      <c r="B47" s="289" t="s">
        <v>77</v>
      </c>
      <c r="C47" s="290"/>
      <c r="D47" s="290"/>
      <c r="E47" s="291"/>
      <c r="F47" s="302" t="s">
        <v>78</v>
      </c>
      <c r="G47" s="303"/>
      <c r="H47" s="336" t="s">
        <v>306</v>
      </c>
    </row>
    <row r="48" ht="15.75" customHeight="1">
      <c r="A48" s="222"/>
      <c r="B48" s="289" t="s">
        <v>79</v>
      </c>
      <c r="C48" s="290"/>
      <c r="D48" s="290"/>
      <c r="E48" s="291"/>
      <c r="F48" s="302" t="s">
        <v>80</v>
      </c>
      <c r="G48" s="303"/>
      <c r="H48" s="336" t="s">
        <v>307</v>
      </c>
    </row>
    <row r="49" ht="15.75" customHeight="1">
      <c r="A49" s="222"/>
      <c r="B49" s="289" t="s">
        <v>81</v>
      </c>
      <c r="C49" s="304"/>
      <c r="D49" s="304"/>
      <c r="E49" s="305"/>
      <c r="F49" s="302" t="s">
        <v>82</v>
      </c>
      <c r="G49" s="303"/>
      <c r="H49" s="336" t="s">
        <v>308</v>
      </c>
    </row>
    <row r="50" ht="15.75" customHeight="1">
      <c r="A50" s="225"/>
      <c r="B50" s="289" t="s">
        <v>83</v>
      </c>
      <c r="C50" s="304"/>
      <c r="D50" s="304"/>
      <c r="E50" s="305"/>
      <c r="F50" s="302" t="s">
        <v>84</v>
      </c>
      <c r="G50" s="303"/>
      <c r="H50" s="295"/>
    </row>
    <row r="51" ht="15.75" customHeight="1">
      <c r="A51" s="225"/>
      <c r="B51" s="306" t="s">
        <v>85</v>
      </c>
      <c r="C51" s="307"/>
      <c r="D51" s="308">
        <v>0.085</v>
      </c>
      <c r="E51" s="309">
        <f>(E46-E47+E49+E50)*D51</f>
        <v>127.075</v>
      </c>
      <c r="F51" s="302" t="s">
        <v>86</v>
      </c>
      <c r="G51" s="303"/>
      <c r="H51" s="295"/>
    </row>
    <row r="52" ht="15.75" customHeight="1">
      <c r="A52" s="225"/>
      <c r="B52" s="310" t="s">
        <v>87</v>
      </c>
      <c r="C52" s="311"/>
      <c r="D52" s="311"/>
      <c r="E52" s="312">
        <f>sum(E46-E47-E48+E49+E50+E51)</f>
        <v>1622.075</v>
      </c>
      <c r="F52" s="337"/>
      <c r="G52" s="311"/>
      <c r="H52" s="295"/>
    </row>
    <row r="53" ht="15.75" customHeight="1">
      <c r="A53" s="225"/>
      <c r="B53" s="315"/>
      <c r="C53" s="311"/>
      <c r="D53" s="311"/>
      <c r="E53" s="311"/>
      <c r="F53" s="311"/>
      <c r="G53" s="311"/>
      <c r="H53" s="295"/>
    </row>
    <row r="54" ht="15.75" customHeight="1">
      <c r="A54" s="225"/>
      <c r="B54" s="315"/>
      <c r="C54" s="316" t="s">
        <v>88</v>
      </c>
      <c r="D54" s="317"/>
      <c r="E54" s="318"/>
      <c r="F54" s="318"/>
      <c r="G54" s="318"/>
      <c r="H54" s="295"/>
    </row>
    <row r="55" ht="15.75" customHeight="1">
      <c r="A55" s="225"/>
      <c r="B55" s="319"/>
      <c r="C55" s="320" t="s">
        <v>89</v>
      </c>
      <c r="D55" s="290"/>
      <c r="E55" s="321">
        <f>E52</f>
        <v>1622.075</v>
      </c>
      <c r="F55" s="302" t="s">
        <v>90</v>
      </c>
      <c r="G55" s="338"/>
      <c r="H55" s="295"/>
    </row>
    <row r="56" ht="15.75" customHeight="1">
      <c r="A56" s="225"/>
      <c r="B56" s="319"/>
      <c r="C56" s="320" t="s">
        <v>91</v>
      </c>
      <c r="D56" s="290"/>
      <c r="E56" s="322">
        <v>0.049</v>
      </c>
      <c r="F56" s="302" t="s">
        <v>92</v>
      </c>
      <c r="G56" s="339"/>
      <c r="H56" s="295"/>
    </row>
    <row r="57" ht="15.75" customHeight="1">
      <c r="A57" s="227"/>
      <c r="B57" s="319"/>
      <c r="C57" s="324" t="s">
        <v>93</v>
      </c>
      <c r="D57" s="325"/>
      <c r="E57" s="326">
        <v>72.0</v>
      </c>
      <c r="F57" s="327" t="s">
        <v>94</v>
      </c>
      <c r="G57" s="339"/>
      <c r="H57" s="228"/>
    </row>
    <row r="58" ht="15.75" customHeight="1">
      <c r="A58" s="229"/>
      <c r="B58" s="328"/>
      <c r="C58" s="329" t="s">
        <v>95</v>
      </c>
      <c r="D58" s="311"/>
      <c r="E58" s="330">
        <f>PMT(E56/12,E57,-E55)</f>
        <v>26.0482338</v>
      </c>
      <c r="F58" s="331"/>
      <c r="G58" s="330"/>
      <c r="H58" s="228"/>
    </row>
    <row r="59" ht="15.75" customHeight="1">
      <c r="A59" s="114"/>
      <c r="B59" s="115"/>
      <c r="C59" s="115"/>
      <c r="D59" s="115"/>
      <c r="E59" s="115"/>
      <c r="F59" s="115"/>
      <c r="G59" s="115"/>
      <c r="H59" s="132"/>
    </row>
    <row r="60" ht="15.75" customHeight="1">
      <c r="A60" s="114"/>
      <c r="B60" s="115"/>
      <c r="C60" s="115"/>
      <c r="D60" s="115"/>
      <c r="E60" s="115"/>
      <c r="F60" s="115"/>
      <c r="G60" s="115"/>
      <c r="H60" s="132" t="s">
        <v>96</v>
      </c>
    </row>
    <row r="61" ht="15.75" customHeight="1">
      <c r="A61" s="114"/>
      <c r="B61" s="115"/>
      <c r="C61" s="115"/>
      <c r="D61" s="115"/>
      <c r="E61" s="115"/>
      <c r="F61" s="115"/>
      <c r="G61" s="115"/>
      <c r="H61" s="115"/>
    </row>
  </sheetData>
  <mergeCells count="1">
    <mergeCell ref="F42:G45"/>
  </mergeCells>
  <conditionalFormatting sqref="E8">
    <cfRule type="expression" dxfId="8" priority="1">
      <formula>G8:G43="x"</formula>
    </cfRule>
  </conditionalFormatting>
  <conditionalFormatting sqref="G8">
    <cfRule type="expression" dxfId="23" priority="2">
      <formula>and(G8="x",G28="")</formula>
    </cfRule>
  </conditionalFormatting>
  <conditionalFormatting sqref="C8:D8">
    <cfRule type="cellIs" dxfId="0" priority="3" operator="equal">
      <formula>0</formula>
    </cfRule>
  </conditionalFormatting>
  <conditionalFormatting sqref="B8">
    <cfRule type="expression" dxfId="8" priority="4">
      <formula>G8:G43="x"</formula>
    </cfRule>
  </conditionalFormatting>
  <conditionalFormatting sqref="F8">
    <cfRule type="expression" dxfId="8" priority="5">
      <formula>G8:G43="x"</formula>
    </cfRule>
  </conditionalFormatting>
  <conditionalFormatting sqref="E4:E38">
    <cfRule type="expression" dxfId="8" priority="6">
      <formula>G4:G38="x"</formula>
    </cfRule>
  </conditionalFormatting>
  <conditionalFormatting sqref="G4">
    <cfRule type="expression" dxfId="10" priority="7">
      <formula>and(G28="x",G4="")</formula>
    </cfRule>
  </conditionalFormatting>
  <conditionalFormatting sqref="G4">
    <cfRule type="expression" dxfId="5" priority="8">
      <formula>and(G5="x",G4="x")</formula>
    </cfRule>
  </conditionalFormatting>
  <conditionalFormatting sqref="G5">
    <cfRule type="expression" dxfId="4" priority="9">
      <formula>and(G5="",G6="x")</formula>
    </cfRule>
  </conditionalFormatting>
  <conditionalFormatting sqref="A5">
    <cfRule type="expression" dxfId="7" priority="10">
      <formula>G4="x"</formula>
    </cfRule>
  </conditionalFormatting>
  <conditionalFormatting sqref="A6">
    <cfRule type="expression" dxfId="7" priority="11">
      <formula>G4="x"</formula>
    </cfRule>
  </conditionalFormatting>
  <conditionalFormatting sqref="B5">
    <cfRule type="expression" dxfId="7" priority="12">
      <formula>G4="x"</formula>
    </cfRule>
  </conditionalFormatting>
  <conditionalFormatting sqref="C5">
    <cfRule type="expression" dxfId="7" priority="13">
      <formula>G4="x"</formula>
    </cfRule>
  </conditionalFormatting>
  <conditionalFormatting sqref="D5">
    <cfRule type="expression" dxfId="7" priority="14">
      <formula>G4="x"</formula>
    </cfRule>
  </conditionalFormatting>
  <conditionalFormatting sqref="B6">
    <cfRule type="expression" dxfId="7" priority="15">
      <formula>G4="x"</formula>
    </cfRule>
  </conditionalFormatting>
  <conditionalFormatting sqref="C6">
    <cfRule type="expression" dxfId="7" priority="16">
      <formula>G4="x"</formula>
    </cfRule>
  </conditionalFormatting>
  <conditionalFormatting sqref="D6">
    <cfRule type="expression" dxfId="7" priority="17">
      <formula>G4="x"</formula>
    </cfRule>
  </conditionalFormatting>
  <conditionalFormatting sqref="G6">
    <cfRule type="expression" dxfId="4" priority="18">
      <formula>and(G5="x",G6="")</formula>
    </cfRule>
  </conditionalFormatting>
  <conditionalFormatting sqref="A4">
    <cfRule type="expression" dxfId="7" priority="19">
      <formula>and(G5="x")</formula>
    </cfRule>
  </conditionalFormatting>
  <conditionalFormatting sqref="B4">
    <cfRule type="expression" dxfId="7" priority="20">
      <formula>and(G5="x")</formula>
    </cfRule>
  </conditionalFormatting>
  <conditionalFormatting sqref="C4">
    <cfRule type="expression" dxfId="7" priority="21">
      <formula>and(G5="x")</formula>
    </cfRule>
  </conditionalFormatting>
  <conditionalFormatting sqref="D4">
    <cfRule type="expression" dxfId="7" priority="22">
      <formula>and(G5="x")</formula>
    </cfRule>
  </conditionalFormatting>
  <conditionalFormatting sqref="A7">
    <cfRule type="expression" dxfId="0" priority="23">
      <formula>#REF!="x"</formula>
    </cfRule>
  </conditionalFormatting>
  <conditionalFormatting sqref="A13">
    <cfRule type="expression" dxfId="0" priority="24">
      <formula>#REF!="x"</formula>
    </cfRule>
  </conditionalFormatting>
  <conditionalFormatting sqref="A32">
    <cfRule type="expression" dxfId="0" priority="25">
      <formula>G23="x"</formula>
    </cfRule>
  </conditionalFormatting>
  <conditionalFormatting sqref="A34">
    <cfRule type="expression" dxfId="2" priority="26">
      <formula>#REF!="x"</formula>
    </cfRule>
  </conditionalFormatting>
  <conditionalFormatting sqref="C32">
    <cfRule type="expression" dxfId="0" priority="27">
      <formula>G23="x"</formula>
    </cfRule>
  </conditionalFormatting>
  <conditionalFormatting sqref="D32">
    <cfRule type="expression" dxfId="0" priority="28">
      <formula>G23="x"</formula>
    </cfRule>
  </conditionalFormatting>
  <conditionalFormatting sqref="C13">
    <cfRule type="expression" dxfId="0" priority="29">
      <formula>#REF!="x"</formula>
    </cfRule>
  </conditionalFormatting>
  <conditionalFormatting sqref="D13">
    <cfRule type="expression" dxfId="0" priority="30">
      <formula>#REF!="x"</formula>
    </cfRule>
  </conditionalFormatting>
  <conditionalFormatting sqref="D7">
    <cfRule type="expression" dxfId="0" priority="31">
      <formula>#REF!="x"</formula>
    </cfRule>
  </conditionalFormatting>
  <conditionalFormatting sqref="G13">
    <cfRule type="expression" dxfId="2" priority="32">
      <formula>and(G13="",or(#REF!="x",G17="x"),G14="")</formula>
    </cfRule>
  </conditionalFormatting>
  <conditionalFormatting sqref="G32">
    <cfRule type="expression" dxfId="2" priority="33">
      <formula>and(#REF!="x",G32="")</formula>
    </cfRule>
  </conditionalFormatting>
  <conditionalFormatting sqref="G34">
    <cfRule type="expression" dxfId="2" priority="34">
      <formula>and(#REF!="x",G34="")</formula>
    </cfRule>
  </conditionalFormatting>
  <conditionalFormatting sqref="G7">
    <cfRule type="expression" dxfId="2" priority="35">
      <formula>and(#REF!="x",G7="")</formula>
    </cfRule>
  </conditionalFormatting>
  <conditionalFormatting sqref="G27">
    <cfRule type="expression" dxfId="4" priority="36">
      <formula>and(G8="x",G27="")</formula>
    </cfRule>
  </conditionalFormatting>
  <conditionalFormatting sqref="G22">
    <cfRule type="expression" dxfId="4" priority="37">
      <formula>and(G20="x",G22="")</formula>
    </cfRule>
  </conditionalFormatting>
  <conditionalFormatting sqref="G22">
    <cfRule type="expression" dxfId="19" priority="38">
      <formula>and(G22="",G27="x")</formula>
    </cfRule>
  </conditionalFormatting>
  <conditionalFormatting sqref="G8">
    <cfRule type="expression" dxfId="23" priority="39">
      <formula>and(G8="x",G27="")</formula>
    </cfRule>
  </conditionalFormatting>
  <conditionalFormatting sqref="C11">
    <cfRule type="expression" dxfId="0" priority="40">
      <formula>G6="x"</formula>
    </cfRule>
  </conditionalFormatting>
  <conditionalFormatting sqref="D11">
    <cfRule type="expression" dxfId="0" priority="41">
      <formula>G6="x"</formula>
    </cfRule>
  </conditionalFormatting>
  <conditionalFormatting sqref="G7">
    <cfRule type="expression" dxfId="4" priority="42">
      <formula>and(G20="x",G7="")</formula>
    </cfRule>
  </conditionalFormatting>
  <conditionalFormatting sqref="G10">
    <cfRule type="expression" dxfId="2" priority="43">
      <formula>and(G7="x",G10="")</formula>
    </cfRule>
  </conditionalFormatting>
  <conditionalFormatting sqref="A28">
    <cfRule type="expression" dxfId="7" priority="44">
      <formula>G4=""</formula>
    </cfRule>
  </conditionalFormatting>
  <conditionalFormatting sqref="B28">
    <cfRule type="expression" dxfId="7" priority="45">
      <formula>G4=""</formula>
    </cfRule>
  </conditionalFormatting>
  <conditionalFormatting sqref="C28">
    <cfRule type="expression" dxfId="7" priority="46">
      <formula>G4=""</formula>
    </cfRule>
  </conditionalFormatting>
  <conditionalFormatting sqref="D28">
    <cfRule type="expression" dxfId="7" priority="47">
      <formula>G4=""</formula>
    </cfRule>
  </conditionalFormatting>
  <conditionalFormatting sqref="G23">
    <cfRule type="expression" dxfId="2" priority="48">
      <formula>and(G17="x",G23="")</formula>
    </cfRule>
  </conditionalFormatting>
  <conditionalFormatting sqref="H4:H38">
    <cfRule type="containsText" dxfId="24" priority="49" operator="containsText" text="High Altitude">
      <formula>NOT(ISERROR(SEARCH(("High Altitude"),(H4))))</formula>
    </cfRule>
  </conditionalFormatting>
  <conditionalFormatting sqref="H4:H38">
    <cfRule type="containsText" dxfId="0" priority="50" operator="containsText" text="Include">
      <formula>NOT(ISERROR(SEARCH(("Include"),(H4))))</formula>
    </cfRule>
  </conditionalFormatting>
  <conditionalFormatting sqref="H4:H38">
    <cfRule type="containsText" dxfId="5" priority="51" operator="containsText" text="Require">
      <formula>NOT(ISERROR(SEARCH(("Require"),(H4))))</formula>
    </cfRule>
  </conditionalFormatting>
  <conditionalFormatting sqref="H4:H38">
    <cfRule type="containsText" dxfId="5" priority="52" operator="containsText" text="N/A">
      <formula>NOT(ISERROR(SEARCH(("N/A"),(H4))))</formula>
    </cfRule>
  </conditionalFormatting>
  <conditionalFormatting sqref="G7">
    <cfRule type="expression" dxfId="10" priority="53">
      <formula>and(G33="x",G7="",G10="")</formula>
    </cfRule>
  </conditionalFormatting>
  <conditionalFormatting sqref="G10">
    <cfRule type="expression" dxfId="10" priority="54">
      <formula>and(G33="x",G7="",G10="")</formula>
    </cfRule>
  </conditionalFormatting>
  <conditionalFormatting sqref="G26">
    <cfRule type="expression" dxfId="5" priority="55">
      <formula>and(G17="x",G26="",G35="",G36="")</formula>
    </cfRule>
  </conditionalFormatting>
  <conditionalFormatting sqref="G35">
    <cfRule type="expression" dxfId="5" priority="56">
      <formula>and(G17="x",G26="",G35="",G36="")</formula>
    </cfRule>
  </conditionalFormatting>
  <conditionalFormatting sqref="G36">
    <cfRule type="expression" dxfId="5" priority="57">
      <formula>and(G17="x",G26="",G35="",G36="")</formula>
    </cfRule>
  </conditionalFormatting>
  <conditionalFormatting sqref="G13">
    <cfRule type="expression" dxfId="5" priority="58">
      <formula>and(G19="x",G13="",G14="")</formula>
    </cfRule>
  </conditionalFormatting>
  <conditionalFormatting sqref="G14">
    <cfRule type="expression" dxfId="6" priority="59">
      <formula>and(G19="x",G13="",G14="")</formula>
    </cfRule>
  </conditionalFormatting>
  <conditionalFormatting sqref="G23">
    <cfRule type="expression" dxfId="10" priority="60">
      <formula>and(G30="x",G23="")</formula>
    </cfRule>
  </conditionalFormatting>
  <conditionalFormatting sqref="G4">
    <cfRule type="expression" dxfId="10" priority="61">
      <formula>and(G25="x",G4="",G5="")</formula>
    </cfRule>
  </conditionalFormatting>
  <conditionalFormatting sqref="G16">
    <cfRule type="expression" dxfId="10" priority="62">
      <formula>and(G25="x",G16="")</formula>
    </cfRule>
  </conditionalFormatting>
  <conditionalFormatting sqref="G25">
    <cfRule type="expression" dxfId="2" priority="63">
      <formula>and(G16="x",G25="")</formula>
    </cfRule>
  </conditionalFormatting>
  <conditionalFormatting sqref="C25">
    <cfRule type="expression" dxfId="16" priority="64">
      <formula>G</formula>
    </cfRule>
  </conditionalFormatting>
  <conditionalFormatting sqref="H4:H38">
    <cfRule type="containsText" dxfId="5" priority="65" operator="containsText" text="Only">
      <formula>NOT(ISERROR(SEARCH(("Only"),(H4))))</formula>
    </cfRule>
  </conditionalFormatting>
  <conditionalFormatting sqref="H4:H38">
    <cfRule type="containsText" dxfId="6" priority="66" operator="containsText" text="Reduce">
      <formula>NOT(ISERROR(SEARCH(("Reduce"),(H4))))</formula>
    </cfRule>
  </conditionalFormatting>
  <conditionalFormatting sqref="B4:B38">
    <cfRule type="expression" dxfId="8" priority="67">
      <formula>G4:G38="x"</formula>
    </cfRule>
  </conditionalFormatting>
  <conditionalFormatting sqref="F4:F38">
    <cfRule type="expression" dxfId="8" priority="68">
      <formula>G4:G38="x"</formula>
    </cfRule>
  </conditionalFormatting>
  <conditionalFormatting sqref="E4:F38">
    <cfRule type="cellIs" dxfId="1" priority="69" operator="equal">
      <formula>0</formula>
    </cfRule>
  </conditionalFormatting>
  <conditionalFormatting sqref="G4:G5">
    <cfRule type="expression" dxfId="4" priority="70">
      <formula>and(G4="",G5="")</formula>
    </cfRule>
  </conditionalFormatting>
  <hyperlinks>
    <hyperlink r:id="rId1" ref="H1"/>
  </hyperlinks>
  <printOptions/>
  <pageMargins bottom="0.75" footer="0.0" header="0.0" left="0.7" right="0.7" top="0.75"/>
  <pageSetup orientation="landscape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6.0"/>
    <col customWidth="1" min="2" max="2" width="41.57"/>
    <col customWidth="1" min="8" max="8" width="55.29"/>
  </cols>
  <sheetData>
    <row r="1" ht="15.75" customHeight="1">
      <c r="A1" s="340" t="s">
        <v>309</v>
      </c>
      <c r="B1" s="189" t="s">
        <v>21</v>
      </c>
      <c r="C1" s="190" t="s">
        <v>193</v>
      </c>
      <c r="D1" s="190" t="s">
        <v>23</v>
      </c>
      <c r="E1" s="190" t="s">
        <v>24</v>
      </c>
      <c r="F1" s="190" t="s">
        <v>25</v>
      </c>
      <c r="G1" s="230" t="s">
        <v>26</v>
      </c>
      <c r="H1" s="341" t="s">
        <v>310</v>
      </c>
    </row>
    <row r="2" ht="15.75" customHeight="1">
      <c r="A2" s="342" t="s">
        <v>311</v>
      </c>
      <c r="B2" s="343" t="s">
        <v>312</v>
      </c>
      <c r="C2" s="344">
        <v>563.0</v>
      </c>
      <c r="D2" s="344">
        <v>625.0</v>
      </c>
      <c r="E2" s="345">
        <f>IF(G2="x",C2,0)</f>
        <v>0</v>
      </c>
      <c r="F2" s="345">
        <f>IF(G2="x",D2,0)</f>
        <v>0</v>
      </c>
      <c r="G2" s="346"/>
      <c r="H2" s="238"/>
    </row>
    <row r="3" ht="15.75" customHeight="1">
      <c r="A3" s="342" t="s">
        <v>313</v>
      </c>
      <c r="B3" s="343" t="s">
        <v>314</v>
      </c>
      <c r="C3" s="347">
        <v>360.0</v>
      </c>
      <c r="D3" s="347">
        <v>400.0</v>
      </c>
      <c r="E3" s="348">
        <f>IF(G3="x",C3,0)</f>
        <v>0</v>
      </c>
      <c r="F3" s="348">
        <f>IF(G3="x",D3,0)</f>
        <v>0</v>
      </c>
      <c r="G3" s="349"/>
      <c r="H3" s="238"/>
    </row>
    <row r="4" ht="15.75" customHeight="1">
      <c r="A4" s="342" t="s">
        <v>313</v>
      </c>
      <c r="B4" s="343" t="s">
        <v>315</v>
      </c>
      <c r="C4" s="344">
        <v>360.0</v>
      </c>
      <c r="D4" s="344">
        <v>400.0</v>
      </c>
      <c r="E4" s="345">
        <f t="shared" ref="E4:E23" si="1">IF(G4="x",C4,0)</f>
        <v>0</v>
      </c>
      <c r="F4" s="345">
        <f t="shared" ref="F4:F23" si="2">IF(G4="x",D4,0)</f>
        <v>0</v>
      </c>
      <c r="G4" s="350"/>
      <c r="H4" s="328"/>
    </row>
    <row r="5" ht="15.75" customHeight="1">
      <c r="A5" s="342" t="s">
        <v>316</v>
      </c>
      <c r="B5" s="343" t="s">
        <v>317</v>
      </c>
      <c r="C5" s="344">
        <v>360.0</v>
      </c>
      <c r="D5" s="344">
        <v>400.0</v>
      </c>
      <c r="E5" s="345">
        <f t="shared" si="1"/>
        <v>0</v>
      </c>
      <c r="F5" s="345">
        <f t="shared" si="2"/>
        <v>0</v>
      </c>
      <c r="G5" s="349"/>
      <c r="H5" s="238"/>
    </row>
    <row r="6" ht="15.75" customHeight="1">
      <c r="A6" s="342" t="s">
        <v>318</v>
      </c>
      <c r="B6" s="343" t="s">
        <v>319</v>
      </c>
      <c r="C6" s="344">
        <v>176.0</v>
      </c>
      <c r="D6" s="344">
        <v>195.0</v>
      </c>
      <c r="E6" s="345">
        <f t="shared" si="1"/>
        <v>0</v>
      </c>
      <c r="F6" s="345">
        <f t="shared" si="2"/>
        <v>0</v>
      </c>
      <c r="G6" s="349"/>
      <c r="H6" s="238"/>
    </row>
    <row r="7" ht="15.75" customHeight="1">
      <c r="A7" s="342" t="s">
        <v>320</v>
      </c>
      <c r="B7" s="343" t="s">
        <v>321</v>
      </c>
      <c r="C7" s="344">
        <v>67.0</v>
      </c>
      <c r="D7" s="344">
        <v>745.0</v>
      </c>
      <c r="E7" s="345">
        <f t="shared" si="1"/>
        <v>0</v>
      </c>
      <c r="F7" s="345">
        <f t="shared" si="2"/>
        <v>0</v>
      </c>
      <c r="G7" s="349"/>
      <c r="H7" s="238"/>
    </row>
    <row r="8" ht="15.75" customHeight="1">
      <c r="A8" s="342" t="s">
        <v>322</v>
      </c>
      <c r="B8" s="343" t="s">
        <v>323</v>
      </c>
      <c r="C8" s="344">
        <v>446.0</v>
      </c>
      <c r="D8" s="344">
        <v>495.0</v>
      </c>
      <c r="E8" s="345">
        <f t="shared" si="1"/>
        <v>0</v>
      </c>
      <c r="F8" s="345">
        <f t="shared" si="2"/>
        <v>0</v>
      </c>
      <c r="G8" s="349"/>
      <c r="H8" s="238"/>
    </row>
    <row r="9" ht="15.75" customHeight="1">
      <c r="A9" s="342" t="s">
        <v>324</v>
      </c>
      <c r="B9" s="343" t="s">
        <v>325</v>
      </c>
      <c r="C9" s="344">
        <v>86.0</v>
      </c>
      <c r="D9" s="344">
        <v>95.0</v>
      </c>
      <c r="E9" s="345">
        <f t="shared" si="1"/>
        <v>0</v>
      </c>
      <c r="F9" s="345">
        <f t="shared" si="2"/>
        <v>0</v>
      </c>
      <c r="G9" s="349"/>
      <c r="H9" s="238"/>
    </row>
    <row r="10" ht="15.75" customHeight="1">
      <c r="A10" s="342" t="s">
        <v>326</v>
      </c>
      <c r="B10" s="343" t="s">
        <v>327</v>
      </c>
      <c r="C10" s="344">
        <v>946.0</v>
      </c>
      <c r="D10" s="344">
        <v>1050.0</v>
      </c>
      <c r="E10" s="345">
        <f t="shared" si="1"/>
        <v>0</v>
      </c>
      <c r="F10" s="345">
        <f t="shared" si="2"/>
        <v>0</v>
      </c>
      <c r="G10" s="349"/>
      <c r="H10" s="238"/>
    </row>
    <row r="11" ht="15.75" customHeight="1">
      <c r="A11" s="342" t="s">
        <v>328</v>
      </c>
      <c r="B11" s="343" t="s">
        <v>329</v>
      </c>
      <c r="C11" s="344">
        <v>220.0</v>
      </c>
      <c r="D11" s="344">
        <v>245.0</v>
      </c>
      <c r="E11" s="345">
        <f t="shared" si="1"/>
        <v>0</v>
      </c>
      <c r="F11" s="345">
        <f t="shared" si="2"/>
        <v>0</v>
      </c>
      <c r="G11" s="349"/>
      <c r="H11" s="238"/>
    </row>
    <row r="12" ht="15.75" customHeight="1">
      <c r="A12" s="351" t="s">
        <v>330</v>
      </c>
      <c r="B12" s="352" t="s">
        <v>331</v>
      </c>
      <c r="C12" s="344">
        <v>220.0</v>
      </c>
      <c r="D12" s="344">
        <v>245.0</v>
      </c>
      <c r="E12" s="345">
        <f t="shared" si="1"/>
        <v>0</v>
      </c>
      <c r="F12" s="345">
        <f t="shared" si="2"/>
        <v>0</v>
      </c>
      <c r="G12" s="349"/>
      <c r="H12" s="238"/>
    </row>
    <row r="13" ht="15.75" customHeight="1">
      <c r="A13" s="342" t="s">
        <v>332</v>
      </c>
      <c r="B13" s="343" t="s">
        <v>333</v>
      </c>
      <c r="C13" s="344">
        <v>136.0</v>
      </c>
      <c r="D13" s="344">
        <v>150.0</v>
      </c>
      <c r="E13" s="345">
        <f t="shared" si="1"/>
        <v>0</v>
      </c>
      <c r="F13" s="345">
        <f t="shared" si="2"/>
        <v>0</v>
      </c>
      <c r="G13" s="349"/>
      <c r="H13" s="238"/>
    </row>
    <row r="14" ht="15.75" customHeight="1">
      <c r="A14" s="342" t="s">
        <v>334</v>
      </c>
      <c r="B14" s="343" t="s">
        <v>335</v>
      </c>
      <c r="C14" s="344">
        <v>1576.0</v>
      </c>
      <c r="D14" s="344">
        <v>1750.0</v>
      </c>
      <c r="E14" s="345">
        <f t="shared" si="1"/>
        <v>0</v>
      </c>
      <c r="F14" s="345">
        <f t="shared" si="2"/>
        <v>0</v>
      </c>
      <c r="G14" s="349"/>
      <c r="H14" s="238"/>
    </row>
    <row r="15" ht="15.75" customHeight="1">
      <c r="A15" s="342" t="s">
        <v>336</v>
      </c>
      <c r="B15" s="343" t="s">
        <v>337</v>
      </c>
      <c r="C15" s="344">
        <v>113.0</v>
      </c>
      <c r="D15" s="344">
        <v>125.0</v>
      </c>
      <c r="E15" s="345">
        <f t="shared" si="1"/>
        <v>0</v>
      </c>
      <c r="F15" s="345">
        <f t="shared" si="2"/>
        <v>0</v>
      </c>
      <c r="G15" s="349"/>
      <c r="H15" s="238"/>
    </row>
    <row r="16" ht="15.75" customHeight="1">
      <c r="A16" s="342" t="s">
        <v>338</v>
      </c>
      <c r="B16" s="343" t="s">
        <v>339</v>
      </c>
      <c r="C16" s="344">
        <v>136.0</v>
      </c>
      <c r="D16" s="344">
        <v>150.0</v>
      </c>
      <c r="E16" s="345">
        <f t="shared" si="1"/>
        <v>0</v>
      </c>
      <c r="F16" s="345">
        <f t="shared" si="2"/>
        <v>0</v>
      </c>
      <c r="G16" s="349"/>
      <c r="H16" s="238"/>
    </row>
    <row r="17" ht="15.75" customHeight="1">
      <c r="A17" s="342" t="s">
        <v>340</v>
      </c>
      <c r="B17" s="343" t="s">
        <v>341</v>
      </c>
      <c r="C17" s="344">
        <v>176.0</v>
      </c>
      <c r="D17" s="344">
        <v>195.0</v>
      </c>
      <c r="E17" s="345">
        <f t="shared" si="1"/>
        <v>0</v>
      </c>
      <c r="F17" s="345">
        <f t="shared" si="2"/>
        <v>0</v>
      </c>
      <c r="G17" s="349"/>
      <c r="H17" s="238"/>
    </row>
    <row r="18" ht="15.75" customHeight="1">
      <c r="A18" s="342" t="s">
        <v>342</v>
      </c>
      <c r="B18" s="343" t="s">
        <v>343</v>
      </c>
      <c r="C18" s="344">
        <v>626.0</v>
      </c>
      <c r="D18" s="344">
        <v>695.0</v>
      </c>
      <c r="E18" s="345">
        <f t="shared" si="1"/>
        <v>0</v>
      </c>
      <c r="F18" s="345">
        <f t="shared" si="2"/>
        <v>0</v>
      </c>
      <c r="G18" s="349"/>
      <c r="H18" s="238"/>
    </row>
    <row r="19" ht="15.75" customHeight="1">
      <c r="A19" s="342" t="s">
        <v>344</v>
      </c>
      <c r="B19" s="343" t="s">
        <v>345</v>
      </c>
      <c r="C19" s="344">
        <v>226.0</v>
      </c>
      <c r="D19" s="344">
        <v>250.0</v>
      </c>
      <c r="E19" s="345">
        <f t="shared" si="1"/>
        <v>0</v>
      </c>
      <c r="F19" s="345">
        <f t="shared" si="2"/>
        <v>0</v>
      </c>
      <c r="G19" s="349"/>
      <c r="H19" s="238"/>
    </row>
    <row r="20" ht="15.75" customHeight="1">
      <c r="A20" s="342" t="s">
        <v>346</v>
      </c>
      <c r="B20" s="343" t="s">
        <v>347</v>
      </c>
      <c r="C20" s="344">
        <v>136.0</v>
      </c>
      <c r="D20" s="344">
        <v>150.0</v>
      </c>
      <c r="E20" s="345">
        <f t="shared" si="1"/>
        <v>0</v>
      </c>
      <c r="F20" s="345">
        <f t="shared" si="2"/>
        <v>0</v>
      </c>
      <c r="G20" s="349"/>
      <c r="H20" s="238"/>
    </row>
    <row r="21" ht="15.75" customHeight="1">
      <c r="A21" s="342" t="s">
        <v>348</v>
      </c>
      <c r="B21" s="343" t="s">
        <v>349</v>
      </c>
      <c r="C21" s="344">
        <v>1576.0</v>
      </c>
      <c r="D21" s="344">
        <v>1750.0</v>
      </c>
      <c r="E21" s="345">
        <f t="shared" si="1"/>
        <v>0</v>
      </c>
      <c r="F21" s="345">
        <f t="shared" si="2"/>
        <v>0</v>
      </c>
      <c r="G21" s="349"/>
      <c r="H21" s="238"/>
    </row>
    <row r="22" ht="15.75" customHeight="1">
      <c r="A22" s="342" t="s">
        <v>350</v>
      </c>
      <c r="B22" s="343" t="s">
        <v>351</v>
      </c>
      <c r="C22" s="344">
        <v>36.0</v>
      </c>
      <c r="D22" s="344">
        <v>40.0</v>
      </c>
      <c r="E22" s="345">
        <f t="shared" si="1"/>
        <v>0</v>
      </c>
      <c r="F22" s="345">
        <f t="shared" si="2"/>
        <v>0</v>
      </c>
      <c r="G22" s="349"/>
      <c r="H22" s="238"/>
    </row>
    <row r="23" ht="15.75" customHeight="1">
      <c r="A23" s="353"/>
      <c r="B23" s="354" t="s">
        <v>352</v>
      </c>
      <c r="C23" s="355"/>
      <c r="D23" s="355"/>
      <c r="E23" s="356">
        <f t="shared" si="1"/>
        <v>0</v>
      </c>
      <c r="F23" s="356">
        <f t="shared" si="2"/>
        <v>0</v>
      </c>
      <c r="G23" s="357"/>
      <c r="H23" s="358"/>
    </row>
    <row r="24">
      <c r="A24" s="359"/>
      <c r="B24" s="360" t="s">
        <v>353</v>
      </c>
      <c r="C24" s="361"/>
      <c r="D24" s="361"/>
      <c r="E24" s="362">
        <f t="shared" ref="E24:F24" si="3">sum(E2:E23)</f>
        <v>0</v>
      </c>
      <c r="F24" s="362">
        <f t="shared" si="3"/>
        <v>0</v>
      </c>
      <c r="G24" s="363"/>
      <c r="H24" s="248" t="s">
        <v>354</v>
      </c>
    </row>
    <row r="25">
      <c r="A25" s="364"/>
      <c r="B25" s="238"/>
      <c r="C25" s="238"/>
      <c r="D25" s="238"/>
      <c r="E25" s="238"/>
      <c r="F25" s="238"/>
      <c r="G25" s="238"/>
      <c r="H25" s="238"/>
    </row>
    <row r="26">
      <c r="A26" s="364"/>
      <c r="B26" s="238"/>
      <c r="C26" s="238"/>
      <c r="D26" s="238"/>
      <c r="E26" s="238"/>
      <c r="F26" s="238"/>
      <c r="G26" s="238"/>
      <c r="H26" s="238"/>
    </row>
    <row r="27">
      <c r="A27" s="365"/>
      <c r="B27" s="248" t="s">
        <v>355</v>
      </c>
      <c r="C27" s="238"/>
      <c r="D27" s="238"/>
      <c r="E27" s="238"/>
      <c r="F27" s="238"/>
      <c r="G27" s="238"/>
      <c r="H27" s="238"/>
    </row>
    <row r="28">
      <c r="A28" s="364"/>
      <c r="B28" s="238"/>
      <c r="C28" s="238"/>
      <c r="D28" s="238"/>
      <c r="E28" s="238"/>
      <c r="F28" s="238"/>
      <c r="G28" s="238"/>
      <c r="H28" s="238"/>
    </row>
  </sheetData>
  <conditionalFormatting sqref="H1:H23">
    <cfRule type="containsText" dxfId="25" priority="1" operator="containsText" text="Included">
      <formula>NOT(ISERROR(SEARCH(("Included"),(H1))))</formula>
    </cfRule>
  </conditionalFormatting>
  <conditionalFormatting sqref="H1:H23">
    <cfRule type="containsText" dxfId="26" priority="2" operator="containsText" text="Requires">
      <formula>NOT(ISERROR(SEARCH(("Requires"),(H1))))</formula>
    </cfRule>
  </conditionalFormatting>
  <conditionalFormatting sqref="E2:F24">
    <cfRule type="cellIs" dxfId="1" priority="3" operator="equal">
      <formula>0</formula>
    </cfRule>
  </conditionalFormatting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7.43"/>
  </cols>
  <sheetData>
    <row r="1" ht="15.75" customHeight="1">
      <c r="A1" s="187" t="s">
        <v>19</v>
      </c>
      <c r="H1" s="238"/>
    </row>
    <row r="2">
      <c r="A2" s="366">
        <v>44197.0</v>
      </c>
    </row>
    <row r="3">
      <c r="A3" s="367" t="s">
        <v>356</v>
      </c>
    </row>
    <row r="4">
      <c r="A4" s="368" t="s">
        <v>357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</row>
    <row r="5">
      <c r="A5" s="368" t="s">
        <v>358</v>
      </c>
      <c r="B5" s="369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69"/>
      <c r="T5" s="369"/>
      <c r="U5" s="369"/>
      <c r="V5" s="369"/>
      <c r="W5" s="369"/>
      <c r="X5" s="369"/>
      <c r="Y5" s="369"/>
      <c r="Z5" s="369"/>
    </row>
    <row r="6">
      <c r="A6" s="368" t="s">
        <v>359</v>
      </c>
      <c r="B6" s="369"/>
      <c r="C6" s="369"/>
      <c r="D6" s="369"/>
      <c r="E6" s="369"/>
      <c r="F6" s="369"/>
      <c r="G6" s="369"/>
      <c r="H6" s="369"/>
      <c r="I6" s="369"/>
      <c r="J6" s="369"/>
      <c r="K6" s="369"/>
      <c r="L6" s="369"/>
      <c r="M6" s="369"/>
      <c r="N6" s="369"/>
      <c r="O6" s="369"/>
      <c r="P6" s="369"/>
      <c r="Q6" s="369"/>
      <c r="R6" s="369"/>
      <c r="S6" s="369"/>
      <c r="T6" s="369"/>
      <c r="U6" s="369"/>
      <c r="V6" s="369"/>
      <c r="W6" s="369"/>
      <c r="X6" s="369"/>
      <c r="Y6" s="369"/>
      <c r="Z6" s="369"/>
    </row>
    <row r="7">
      <c r="A7" s="367"/>
    </row>
    <row r="8">
      <c r="A8" s="370" t="s">
        <v>360</v>
      </c>
    </row>
    <row r="9">
      <c r="A9" s="367" t="s">
        <v>361</v>
      </c>
    </row>
    <row r="10">
      <c r="A10" s="371" t="s">
        <v>362</v>
      </c>
    </row>
    <row r="11">
      <c r="A11" s="370"/>
    </row>
    <row r="12">
      <c r="A12" s="370" t="s">
        <v>363</v>
      </c>
    </row>
    <row r="13">
      <c r="A13" s="371" t="s">
        <v>364</v>
      </c>
    </row>
    <row r="14">
      <c r="A14" s="370"/>
    </row>
    <row r="15">
      <c r="A15" s="370"/>
    </row>
    <row r="16">
      <c r="A16" s="370" t="s">
        <v>365</v>
      </c>
    </row>
    <row r="17">
      <c r="A17" s="371" t="s">
        <v>366</v>
      </c>
    </row>
    <row r="18">
      <c r="A18" s="371" t="s">
        <v>367</v>
      </c>
    </row>
    <row r="19">
      <c r="A19" s="370"/>
    </row>
    <row r="20">
      <c r="A20" s="370" t="s">
        <v>368</v>
      </c>
    </row>
    <row r="21">
      <c r="A21" s="371" t="s">
        <v>369</v>
      </c>
    </row>
    <row r="22">
      <c r="A22" s="371" t="s">
        <v>370</v>
      </c>
    </row>
    <row r="23">
      <c r="A23" s="370"/>
    </row>
    <row r="24">
      <c r="A24" s="370"/>
    </row>
    <row r="25">
      <c r="A25" s="370" t="s">
        <v>371</v>
      </c>
    </row>
    <row r="26">
      <c r="A26" s="371" t="s">
        <v>372</v>
      </c>
    </row>
    <row r="27">
      <c r="A27" s="371" t="s">
        <v>373</v>
      </c>
    </row>
    <row r="28">
      <c r="A28" s="370"/>
    </row>
    <row r="29">
      <c r="A29" s="370"/>
    </row>
    <row r="30">
      <c r="A30" s="370" t="s">
        <v>374</v>
      </c>
    </row>
    <row r="31">
      <c r="A31" s="371" t="s">
        <v>375</v>
      </c>
    </row>
    <row r="32">
      <c r="A32" s="371" t="s">
        <v>376</v>
      </c>
    </row>
    <row r="33">
      <c r="A33" s="371" t="s">
        <v>377</v>
      </c>
    </row>
    <row r="34">
      <c r="A34" s="371" t="s">
        <v>378</v>
      </c>
    </row>
    <row r="35">
      <c r="A35" s="371" t="s">
        <v>379</v>
      </c>
    </row>
    <row r="36">
      <c r="A36" s="371" t="s">
        <v>380</v>
      </c>
    </row>
    <row r="37">
      <c r="A37" s="372"/>
      <c r="B37" s="373"/>
    </row>
    <row r="38">
      <c r="A38" s="374" t="s">
        <v>381</v>
      </c>
    </row>
    <row r="39">
      <c r="A39" s="374" t="s">
        <v>382</v>
      </c>
    </row>
    <row r="40">
      <c r="A40" s="374"/>
    </row>
    <row r="41">
      <c r="A41" s="375"/>
    </row>
    <row r="42">
      <c r="A42" s="376"/>
    </row>
    <row r="43">
      <c r="A43" s="376"/>
    </row>
    <row r="44">
      <c r="A44" s="376"/>
    </row>
    <row r="45">
      <c r="A45" s="376"/>
    </row>
    <row r="46">
      <c r="A46" s="376"/>
    </row>
    <row r="47">
      <c r="A47" s="376"/>
    </row>
    <row r="48">
      <c r="A48" s="376"/>
    </row>
  </sheetData>
  <mergeCells count="1">
    <mergeCell ref="A1:G1"/>
  </mergeCells>
  <drawing r:id="rId1"/>
</worksheet>
</file>